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Excel\2024\"/>
    </mc:Choice>
  </mc:AlternateContent>
  <xr:revisionPtr revIDLastSave="0" documentId="13_ncr:1_{3B9D9DF7-5A6A-491F-B3B8-B3967907B5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3" i="1" l="1"/>
  <c r="D423" i="1"/>
  <c r="G132" i="1"/>
  <c r="G28" i="1" l="1"/>
  <c r="G29" i="1"/>
  <c r="G30" i="1"/>
  <c r="G27" i="1" s="1"/>
  <c r="G31" i="1"/>
  <c r="H422" i="1"/>
  <c r="F422" i="1"/>
  <c r="G422" i="1" s="1"/>
  <c r="E422" i="1"/>
  <c r="H421" i="1"/>
  <c r="F421" i="1"/>
  <c r="E421" i="1"/>
  <c r="E419" i="1" s="1"/>
  <c r="H420" i="1"/>
  <c r="H419" i="1" s="1"/>
  <c r="F420" i="1"/>
  <c r="E420" i="1"/>
  <c r="F419" i="1"/>
  <c r="G419" i="1" s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H414" i="1"/>
  <c r="F414" i="1"/>
  <c r="F413" i="1" s="1"/>
  <c r="E414" i="1"/>
  <c r="E413" i="1" s="1"/>
  <c r="E423" i="1" s="1"/>
  <c r="H413" i="1"/>
  <c r="H423" i="1" s="1"/>
  <c r="D391" i="1"/>
  <c r="I390" i="1"/>
  <c r="H390" i="1"/>
  <c r="G390" i="1"/>
  <c r="F390" i="1"/>
  <c r="I389" i="1"/>
  <c r="H389" i="1"/>
  <c r="G389" i="1"/>
  <c r="F389" i="1"/>
  <c r="I388" i="1"/>
  <c r="I386" i="1" s="1"/>
  <c r="I391" i="1" s="1"/>
  <c r="G388" i="1"/>
  <c r="F388" i="1"/>
  <c r="I387" i="1"/>
  <c r="G387" i="1"/>
  <c r="F387" i="1"/>
  <c r="F386" i="1" s="1"/>
  <c r="G386" i="1"/>
  <c r="H386" i="1" s="1"/>
  <c r="I385" i="1"/>
  <c r="H385" i="1"/>
  <c r="G385" i="1"/>
  <c r="F385" i="1"/>
  <c r="I384" i="1"/>
  <c r="G384" i="1"/>
  <c r="H384" i="1" s="1"/>
  <c r="H380" i="1" s="1"/>
  <c r="F384" i="1"/>
  <c r="I383" i="1"/>
  <c r="H383" i="1"/>
  <c r="G383" i="1"/>
  <c r="F383" i="1"/>
  <c r="F380" i="1" s="1"/>
  <c r="I382" i="1"/>
  <c r="G382" i="1"/>
  <c r="H382" i="1" s="1"/>
  <c r="F382" i="1"/>
  <c r="I381" i="1"/>
  <c r="H381" i="1"/>
  <c r="G381" i="1"/>
  <c r="F381" i="1"/>
  <c r="I380" i="1"/>
  <c r="G380" i="1"/>
  <c r="G391" i="1" s="1"/>
  <c r="D380" i="1"/>
  <c r="H372" i="1"/>
  <c r="F372" i="1"/>
  <c r="H354" i="1"/>
  <c r="E354" i="1"/>
  <c r="D354" i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F350" i="1"/>
  <c r="F354" i="1" s="1"/>
  <c r="G354" i="1" s="1"/>
  <c r="E350" i="1"/>
  <c r="D343" i="1"/>
  <c r="D299" i="1"/>
  <c r="H298" i="1"/>
  <c r="G298" i="1"/>
  <c r="F298" i="1"/>
  <c r="E298" i="1"/>
  <c r="H297" i="1"/>
  <c r="F297" i="1"/>
  <c r="E297" i="1"/>
  <c r="H296" i="1"/>
  <c r="H295" i="1" s="1"/>
  <c r="H299" i="1" s="1"/>
  <c r="F296" i="1"/>
  <c r="F295" i="1" s="1"/>
  <c r="E296" i="1"/>
  <c r="E295" i="1"/>
  <c r="E299" i="1" s="1"/>
  <c r="D253" i="1"/>
  <c r="H252" i="1"/>
  <c r="F252" i="1"/>
  <c r="G252" i="1" s="1"/>
  <c r="E252" i="1"/>
  <c r="H251" i="1"/>
  <c r="F251" i="1"/>
  <c r="E251" i="1"/>
  <c r="H250" i="1"/>
  <c r="F250" i="1"/>
  <c r="F249" i="1" s="1"/>
  <c r="E250" i="1"/>
  <c r="H249" i="1"/>
  <c r="H253" i="1" s="1"/>
  <c r="E249" i="1"/>
  <c r="E253" i="1" s="1"/>
  <c r="D207" i="1"/>
  <c r="H206" i="1"/>
  <c r="F206" i="1"/>
  <c r="G206" i="1" s="1"/>
  <c r="E206" i="1"/>
  <c r="H205" i="1"/>
  <c r="G205" i="1"/>
  <c r="F205" i="1"/>
  <c r="E205" i="1"/>
  <c r="H204" i="1"/>
  <c r="H207" i="1" s="1"/>
  <c r="F204" i="1"/>
  <c r="G204" i="1" s="1"/>
  <c r="E204" i="1"/>
  <c r="E207" i="1" s="1"/>
  <c r="E184" i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H178" i="1"/>
  <c r="E178" i="1"/>
  <c r="H177" i="1"/>
  <c r="G177" i="1"/>
  <c r="F177" i="1"/>
  <c r="E177" i="1"/>
  <c r="H176" i="1"/>
  <c r="F176" i="1"/>
  <c r="E176" i="1"/>
  <c r="H175" i="1"/>
  <c r="H184" i="1" s="1"/>
  <c r="F175" i="1"/>
  <c r="F184" i="1" s="1"/>
  <c r="G184" i="1" s="1"/>
  <c r="E175" i="1"/>
  <c r="D167" i="1"/>
  <c r="D169" i="1" s="1"/>
  <c r="I148" i="1"/>
  <c r="H148" i="1"/>
  <c r="G148" i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H139" i="1" s="1"/>
  <c r="G140" i="1"/>
  <c r="G139" i="1" s="1"/>
  <c r="F140" i="1"/>
  <c r="I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G134" i="1"/>
  <c r="E134" i="1"/>
  <c r="D134" i="1"/>
  <c r="D133" i="1" s="1"/>
  <c r="E133" i="1"/>
  <c r="E150" i="1" s="1"/>
  <c r="I132" i="1"/>
  <c r="H132" i="1"/>
  <c r="F132" i="1"/>
  <c r="I131" i="1"/>
  <c r="G131" i="1"/>
  <c r="H131" i="1" s="1"/>
  <c r="F131" i="1"/>
  <c r="I130" i="1"/>
  <c r="H130" i="1"/>
  <c r="G130" i="1"/>
  <c r="F130" i="1"/>
  <c r="I129" i="1"/>
  <c r="I128" i="1" s="1"/>
  <c r="G129" i="1"/>
  <c r="H129" i="1" s="1"/>
  <c r="F129" i="1"/>
  <c r="F128" i="1"/>
  <c r="F150" i="1" s="1"/>
  <c r="E128" i="1"/>
  <c r="D128" i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G96" i="1" s="1"/>
  <c r="G95" i="1" s="1"/>
  <c r="F97" i="1"/>
  <c r="F96" i="1" s="1"/>
  <c r="F95" i="1" s="1"/>
  <c r="E96" i="1"/>
  <c r="E95" i="1" s="1"/>
  <c r="E107" i="1" s="1"/>
  <c r="D96" i="1"/>
  <c r="D95" i="1"/>
  <c r="I94" i="1"/>
  <c r="G94" i="1"/>
  <c r="H94" i="1" s="1"/>
  <c r="H92" i="1" s="1"/>
  <c r="F94" i="1"/>
  <c r="I93" i="1"/>
  <c r="H93" i="1"/>
  <c r="G93" i="1"/>
  <c r="F93" i="1"/>
  <c r="I92" i="1"/>
  <c r="I107" i="1" s="1"/>
  <c r="G92" i="1"/>
  <c r="F92" i="1"/>
  <c r="E92" i="1"/>
  <c r="D92" i="1"/>
  <c r="D107" i="1" s="1"/>
  <c r="C89" i="1"/>
  <c r="H85" i="1"/>
  <c r="F85" i="1"/>
  <c r="D85" i="1"/>
  <c r="G61" i="1"/>
  <c r="G60" i="1"/>
  <c r="H55" i="1"/>
  <c r="I32" i="1" s="1"/>
  <c r="I27" i="1" s="1"/>
  <c r="G55" i="1"/>
  <c r="F55" i="1"/>
  <c r="E55" i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F34" i="1" s="1"/>
  <c r="F26" i="1" s="1"/>
  <c r="I35" i="1"/>
  <c r="I34" i="1" s="1"/>
  <c r="I26" i="1" s="1"/>
  <c r="G35" i="1"/>
  <c r="H35" i="1" s="1"/>
  <c r="F35" i="1"/>
  <c r="E35" i="1"/>
  <c r="D34" i="1"/>
  <c r="I33" i="1"/>
  <c r="H33" i="1"/>
  <c r="G33" i="1"/>
  <c r="F33" i="1"/>
  <c r="H32" i="1"/>
  <c r="G32" i="1"/>
  <c r="F32" i="1"/>
  <c r="I31" i="1"/>
  <c r="H31" i="1"/>
  <c r="F31" i="1"/>
  <c r="I30" i="1"/>
  <c r="H30" i="1"/>
  <c r="F30" i="1"/>
  <c r="I29" i="1"/>
  <c r="H29" i="1"/>
  <c r="F29" i="1"/>
  <c r="I28" i="1"/>
  <c r="H28" i="1"/>
  <c r="F28" i="1"/>
  <c r="F27" i="1"/>
  <c r="E27" i="1"/>
  <c r="E26" i="1" s="1"/>
  <c r="D27" i="1"/>
  <c r="D26" i="1" s="1"/>
  <c r="D44" i="1" s="1"/>
  <c r="I25" i="1"/>
  <c r="H25" i="1"/>
  <c r="H23" i="1" s="1"/>
  <c r="G25" i="1"/>
  <c r="F25" i="1"/>
  <c r="I24" i="1"/>
  <c r="I23" i="1" s="1"/>
  <c r="H24" i="1"/>
  <c r="G24" i="1"/>
  <c r="F24" i="1"/>
  <c r="F23" i="1" s="1"/>
  <c r="G23" i="1"/>
  <c r="E23" i="1"/>
  <c r="D23" i="1"/>
  <c r="H16" i="1"/>
  <c r="F16" i="1"/>
  <c r="D16" i="1"/>
  <c r="H27" i="1" l="1"/>
  <c r="I44" i="1"/>
  <c r="G34" i="1"/>
  <c r="G26" i="1" s="1"/>
  <c r="G44" i="1" s="1"/>
  <c r="F44" i="1"/>
  <c r="H391" i="1"/>
  <c r="F423" i="1"/>
  <c r="G413" i="1"/>
  <c r="G133" i="1"/>
  <c r="I150" i="1"/>
  <c r="G249" i="1"/>
  <c r="F253" i="1"/>
  <c r="G253" i="1" s="1"/>
  <c r="H128" i="1"/>
  <c r="E44" i="1"/>
  <c r="F107" i="1"/>
  <c r="G107" i="1"/>
  <c r="D150" i="1"/>
  <c r="H134" i="1"/>
  <c r="H133" i="1" s="1"/>
  <c r="G295" i="1"/>
  <c r="F299" i="1"/>
  <c r="G299" i="1" s="1"/>
  <c r="F391" i="1"/>
  <c r="H97" i="1"/>
  <c r="H96" i="1" s="1"/>
  <c r="H95" i="1" s="1"/>
  <c r="H107" i="1" s="1"/>
  <c r="G128" i="1"/>
  <c r="G175" i="1"/>
  <c r="F207" i="1"/>
  <c r="G207" i="1" s="1"/>
  <c r="G350" i="1"/>
  <c r="G150" i="1" l="1"/>
  <c r="H34" i="1"/>
  <c r="H26" i="1" s="1"/>
  <c r="H44" i="1" s="1"/>
  <c r="H150" i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<sst xmlns="http://schemas.openxmlformats.org/spreadsheetml/2006/main" count="359" uniqueCount="152">
  <si>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</si>
  <si>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</si>
  <si>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</si>
  <si>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</si>
  <si>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</si>
  <si>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</si>
  <si>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</si>
  <si>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</si>
  <si>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</si>
  <si>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</si>
  <si>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</si>
  <si>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</si>
  <si>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</si>
  <si>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</si>
  <si>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</si>
  <si>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</si>
  <si>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</si>
  <si>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</si>
  <si>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</si>
  <si>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</si>
  <si>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</si>
  <si>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</si>
  <si>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</si>
  <si>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</si>
  <si>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</si>
  <si>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</si>
  <si>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</si>
  <si>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</si>
  <si>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</si>
  <si>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</si>
  <si>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</si>
  <si>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</si>
  <si>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</si>
  <si>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</si>
  <si>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</si>
  <si>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</si>
  <si>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</si>
  <si>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</si>
  <si>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</si>
  <si>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</si>
  <si>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</si>
  <si>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</si>
  <si>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</si>
  <si>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</si>
  <si>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</si>
  <si>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</si>
  <si>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</si>
  <si>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</si>
  <si>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</si>
  <si>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</si>
  <si>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</si>
  <si>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</si>
  <si>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</si>
  <si>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</si>
  <si>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</si>
  <si>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</si>
  <si>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</si>
  <si>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</si>
  <si>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</si>
  <si>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</si>
  <si>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</si>
  <si>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</si>
  <si>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</si>
  <si>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</si>
  <si>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</si>
  <si>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</si>
  <si>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</si>
  <si>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</si>
  <si>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</si>
  <si>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</si>
  <si>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</si>
  <si>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</si>
  <si>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</si>
  <si>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</si>
  <si>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</si>
  <si>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</si>
  <si>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</si>
  <si>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</si>
  <si>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</si>
  <si>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</si>
  <si>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</si>
  <si>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</si>
  <si>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</si>
  <si>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</si>
  <si>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</si>
  <si>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</si>
  <si>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</si>
  <si>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</si>
  <si>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</si>
  <si>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</si>
  <si>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</si>
  <si>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</si>
  <si>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</si>
  <si>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</si>
  <si>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</si>
  <si>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</si>
  <si>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</si>
  <si>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</si>
  <si>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</si>
  <si>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</si>
  <si>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</si>
  <si>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</si>
  <si>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</si>
  <si>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</si>
  <si>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</si>
  <si>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</si>
  <si>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</si>
  <si>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</si>
  <si>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</si>
  <si>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</si>
  <si>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</si>
  <si>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</si>
  <si>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</si>
  <si>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</si>
  <si>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</si>
  <si>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</si>
  <si>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</si>
  <si>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</si>
  <si>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</si>
  <si>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</si>
  <si>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</si>
  <si>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</si>
  <si>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</si>
  <si>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</si>
  <si>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</si>
  <si>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</si>
  <si>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</si>
  <si>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</si>
  <si>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</si>
  <si>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</si>
  <si>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</si>
  <si>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</si>
  <si>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</si>
  <si>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</si>
  <si>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</si>
  <si>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</si>
  <si>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</si>
  <si>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</si>
  <si>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</si>
  <si>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</si>
  <si>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</si>
  <si>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</si>
  <si>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</si>
  <si>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</si>
  <si>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t>2 Registrert rekreasjonsfiske utgjør 45 tonn, men det legges til grunn at hele avsetningen tas</t>
  </si>
  <si>
    <t>4 Registrert rekreasjonsfiske utgjør 171 tonn, men det legges til grunn at hele avsetningen tas</t>
  </si>
  <si>
    <t>3 Registrert rekreasjonsfiske utgjør 572 tonn, men det legges til grunn at hele avsetningen tas</t>
  </si>
  <si>
    <t>FANGST UKE 19</t>
  </si>
  <si>
    <t>FANGST T.O.M UKE 19</t>
  </si>
  <si>
    <t>RESTKVOTER UKE 19</t>
  </si>
  <si>
    <t>FANGST T.O.M UKE 19 2023</t>
  </si>
  <si>
    <r>
      <t>3</t>
    </r>
    <r>
      <rPr>
        <sz val="9"/>
        <color indexed="8"/>
        <rFont val="Calibri"/>
        <family val="2"/>
      </rPr>
      <t xml:space="preserve"> Det er fisket 1 729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</si>
</sst>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showWhiteSpace="0" view="pageLayout" topLeftCell="A412" zoomScale="85" zoomScaleNormal="85" zoomScaleSheetLayoutView="100" zoomScalePageLayoutView="85" workbookViewId="0">
      <selection activeCell="C424" sqref="C424:J424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2" t="s">
        <v>123</v>
      </c>
      <c r="C2" s="293"/>
      <c r="D2" s="293"/>
      <c r="E2" s="293"/>
      <c r="F2" s="293"/>
      <c r="G2" s="293"/>
      <c r="H2" s="293"/>
      <c r="I2" s="293"/>
      <c r="J2" s="294"/>
    </row>
    <row r="3" spans="1:10" ht="14.9" customHeight="1" x14ac:dyDescent="0.3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3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5" customHeight="1" x14ac:dyDescent="0.3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3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3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3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5" customHeight="1" x14ac:dyDescent="0.3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35">
      <c r="A17" s="101"/>
      <c r="B17" s="24"/>
      <c r="C17" s="291" t="s">
        <v>142</v>
      </c>
      <c r="D17" s="291"/>
      <c r="E17" s="291"/>
      <c r="F17" s="291"/>
      <c r="G17" s="291"/>
      <c r="H17" s="291"/>
      <c r="I17" s="101"/>
      <c r="J17" s="157"/>
    </row>
    <row r="18" spans="1:10" ht="15" customHeight="1" x14ac:dyDescent="0.3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3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3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3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5" customHeight="1" x14ac:dyDescent="0.3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382.93609000000004</v>
      </c>
      <c r="G23" s="28">
        <f t="shared" si="0"/>
        <v>34825.543189999997</v>
      </c>
      <c r="H23" s="11">
        <f t="shared" si="0"/>
        <v>25986.45681</v>
      </c>
      <c r="I23" s="11">
        <f t="shared" si="0"/>
        <v>41463.782339999998</v>
      </c>
      <c r="J23" s="243"/>
    </row>
    <row r="24" spans="1:10" ht="14.15" customHeight="1" x14ac:dyDescent="0.35">
      <c r="A24" s="1"/>
      <c r="B24" s="253"/>
      <c r="C24" s="44" t="s">
        <v>20</v>
      </c>
      <c r="D24" s="45">
        <v>61689</v>
      </c>
      <c r="E24" s="45">
        <v>60042</v>
      </c>
      <c r="F24" s="23">
        <f>381.24709</f>
        <v>381.24709000000001</v>
      </c>
      <c r="G24" s="23">
        <f>34422.1259</f>
        <v>34422.125899999999</v>
      </c>
      <c r="H24" s="23">
        <f>E24-G24</f>
        <v>25619.874100000001</v>
      </c>
      <c r="I24" s="23">
        <f>41272.13985</f>
        <v>41272.13985</v>
      </c>
      <c r="J24" s="243"/>
    </row>
    <row r="25" spans="1:10" ht="14.15" customHeight="1" x14ac:dyDescent="0.35">
      <c r="A25" s="1"/>
      <c r="B25" s="253"/>
      <c r="C25" s="48" t="s">
        <v>21</v>
      </c>
      <c r="D25" s="49">
        <v>750</v>
      </c>
      <c r="E25" s="49">
        <v>770</v>
      </c>
      <c r="F25" s="171">
        <f>1.689</f>
        <v>1.6890000000000001</v>
      </c>
      <c r="G25" s="23">
        <f>403.41729</f>
        <v>403.41728999999998</v>
      </c>
      <c r="H25" s="23">
        <f>E25-G25</f>
        <v>366.58271000000002</v>
      </c>
      <c r="I25" s="23">
        <f>191.64249</f>
        <v>191.64249000000001</v>
      </c>
      <c r="J25" s="243"/>
    </row>
    <row r="26" spans="1:10" ht="14.15" customHeight="1" x14ac:dyDescent="0.3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978.53387000000009</v>
      </c>
      <c r="G26" s="11">
        <f t="shared" si="1"/>
        <v>110754.57044</v>
      </c>
      <c r="H26" s="11">
        <f t="shared" si="1"/>
        <v>34119.429560000004</v>
      </c>
      <c r="I26" s="11">
        <f t="shared" si="1"/>
        <v>155618.63996999999</v>
      </c>
      <c r="J26" s="243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747.20812000000012</v>
      </c>
      <c r="G27" s="132">
        <f t="shared" ref="G27:I27" si="2">G28+G29+G30+G31+G32</f>
        <v>92217.103069999997</v>
      </c>
      <c r="H27" s="132">
        <f t="shared" si="2"/>
        <v>20760.896930000003</v>
      </c>
      <c r="I27" s="132">
        <f t="shared" si="2"/>
        <v>125357.69171</v>
      </c>
      <c r="J27" s="243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136.76944</f>
        <v>136.76944</v>
      </c>
      <c r="G28" s="127">
        <f>24807.53949 - F56</f>
        <v>24807.539489999999</v>
      </c>
      <c r="H28" s="127">
        <f t="shared" ref="H28:H40" si="3">E28-G28</f>
        <v>3822.4605100000008</v>
      </c>
      <c r="I28" s="127">
        <f>34736.64954 - H56</f>
        <v>34736.649539999999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111.09065</f>
        <v>111.09065</v>
      </c>
      <c r="G29" s="127">
        <f>25965.64468 - F57</f>
        <v>25965.644680000001</v>
      </c>
      <c r="H29" s="127">
        <f t="shared" si="3"/>
        <v>3699.3553199999988</v>
      </c>
      <c r="I29" s="127">
        <f>35511.7331 - H57</f>
        <v>35511.733099999998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367.14303</f>
        <v>367.14303000000001</v>
      </c>
      <c r="G30" s="127">
        <f>23986.65545 - F58</f>
        <v>23986.655449999998</v>
      </c>
      <c r="H30" s="127">
        <f t="shared" si="3"/>
        <v>3257.3445500000016</v>
      </c>
      <c r="I30" s="127">
        <f>32482.31079 - H58</f>
        <v>32482.31079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132.205</f>
        <v>132.20500000000001</v>
      </c>
      <c r="G31" s="127">
        <f>17457.26345 - F59</f>
        <v>17457.263449999999</v>
      </c>
      <c r="H31" s="127">
        <f t="shared" si="3"/>
        <v>1881.7365500000014</v>
      </c>
      <c r="I31" s="127">
        <f>22626.99828 - H59</f>
        <v>22626.99828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24.2082</f>
        <v>24.208200000000001</v>
      </c>
      <c r="G33" s="132">
        <f>7851.5471</f>
        <v>7851.5470999999998</v>
      </c>
      <c r="H33" s="132">
        <f t="shared" si="3"/>
        <v>9007.4529000000002</v>
      </c>
      <c r="I33" s="132">
        <f>11980.00068</f>
        <v>11980.000679999999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207.11754999999999</v>
      </c>
      <c r="G34" s="132">
        <f>G35+G36</f>
        <v>10685.920270000001</v>
      </c>
      <c r="H34" s="132">
        <f t="shared" si="3"/>
        <v>4351.0797299999995</v>
      </c>
      <c r="I34" s="132">
        <f>I35+I36</f>
        <v>18280.94758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207.11755</f>
        <v>207.11754999999999</v>
      </c>
      <c r="G35" s="132">
        <f>13035.92027 - F60 - F61</f>
        <v>10685.920270000001</v>
      </c>
      <c r="H35" s="127">
        <f t="shared" si="3"/>
        <v>3391.0797299999995</v>
      </c>
      <c r="I35" s="127">
        <f>21567.94758 - H60 - H61</f>
        <v>18280.94758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3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198.7076</f>
        <v>198.70760000000001</v>
      </c>
      <c r="H37" s="139">
        <f t="shared" si="3"/>
        <v>1801.2924</v>
      </c>
      <c r="I37" s="139">
        <f>616.4108</f>
        <v>616.41079999999999</v>
      </c>
      <c r="J37" s="243"/>
    </row>
    <row r="38" spans="1:13" ht="14.15" customHeight="1" x14ac:dyDescent="0.35">
      <c r="A38" s="1"/>
      <c r="B38" s="253"/>
      <c r="C38" s="73" t="s">
        <v>34</v>
      </c>
      <c r="D38" s="143">
        <v>855</v>
      </c>
      <c r="E38" s="143">
        <v>855</v>
      </c>
      <c r="F38" s="98">
        <f>1.584</f>
        <v>1.5840000000000001</v>
      </c>
      <c r="G38" s="98">
        <f>443.26171</f>
        <v>443.26170999999999</v>
      </c>
      <c r="H38" s="98">
        <f t="shared" si="3"/>
        <v>411.73829000000001</v>
      </c>
      <c r="I38" s="98">
        <f>455.66382</f>
        <v>455.66381999999999</v>
      </c>
      <c r="J38" s="243"/>
    </row>
    <row r="39" spans="1:13" ht="17.25" customHeight="1" x14ac:dyDescent="0.3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71</v>
      </c>
      <c r="G39" s="98">
        <f>F61</f>
        <v>2350</v>
      </c>
      <c r="H39" s="98">
        <f t="shared" si="3"/>
        <v>650</v>
      </c>
      <c r="I39" s="98">
        <f>H61</f>
        <v>3287</v>
      </c>
      <c r="J39" s="243"/>
    </row>
    <row r="40" spans="1:13" ht="17.25" customHeight="1" x14ac:dyDescent="0.35">
      <c r="A40" s="1"/>
      <c r="B40" s="253"/>
      <c r="C40" s="73" t="s">
        <v>36</v>
      </c>
      <c r="D40" s="143">
        <v>7000</v>
      </c>
      <c r="E40" s="143">
        <v>7000</v>
      </c>
      <c r="F40" s="98">
        <f>7.88323</f>
        <v>7.8832300000000002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35">
      <c r="A41" s="1"/>
      <c r="B41" s="253"/>
      <c r="C41" s="73" t="s">
        <v>38</v>
      </c>
      <c r="D41" s="143">
        <v>400</v>
      </c>
      <c r="E41" s="143">
        <v>400</v>
      </c>
      <c r="F41" s="98">
        <f>0.06</f>
        <v>0.06</v>
      </c>
      <c r="G41" s="98">
        <f>310.55256</f>
        <v>310.55256000000003</v>
      </c>
      <c r="H41" s="98">
        <f>E41-G41</f>
        <v>89.447439999999972</v>
      </c>
      <c r="I41" s="98">
        <f>326.95675</f>
        <v>326.95675</v>
      </c>
      <c r="J41" s="243"/>
    </row>
    <row r="42" spans="1:13" ht="17.25" customHeight="1" x14ac:dyDescent="0.35">
      <c r="A42" s="1"/>
      <c r="B42" s="253"/>
      <c r="C42" s="73" t="s">
        <v>130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5" customHeight="1" x14ac:dyDescent="0.35">
      <c r="A43" s="1"/>
      <c r="B43" s="253"/>
      <c r="C43" s="73" t="s">
        <v>39</v>
      </c>
      <c r="D43" s="143"/>
      <c r="E43" s="139"/>
      <c r="F43" s="139">
        <f>0</f>
        <v>0</v>
      </c>
      <c r="G43" s="139">
        <f>106.14526</f>
        <v>106.14525999999999</v>
      </c>
      <c r="H43" s="139">
        <f t="shared" ref="H43" si="4">E43-G43</f>
        <v>-106.14525999999999</v>
      </c>
      <c r="I43" s="139">
        <f>57.60549</f>
        <v>57.605490000000003</v>
      </c>
      <c r="J43" s="243"/>
    </row>
    <row r="44" spans="1:13" ht="16.5" customHeight="1" x14ac:dyDescent="0.3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1441.99719</v>
      </c>
      <c r="G44" s="76">
        <f t="shared" si="5"/>
        <v>155988.78475999995</v>
      </c>
      <c r="H44" s="76">
        <f t="shared" si="5"/>
        <v>63052.215240000012</v>
      </c>
      <c r="I44" s="76">
        <f t="shared" si="5"/>
        <v>208826.05916999999</v>
      </c>
      <c r="J44" s="243"/>
    </row>
    <row r="45" spans="1:13" ht="14.15" customHeight="1" x14ac:dyDescent="0.35">
      <c r="A45" s="101"/>
      <c r="B45" s="24"/>
      <c r="C45" s="77" t="s">
        <v>131</v>
      </c>
      <c r="D45" s="257"/>
      <c r="E45" s="257"/>
      <c r="F45" s="80"/>
      <c r="G45" s="80"/>
      <c r="H45" s="227"/>
      <c r="I45" s="227"/>
      <c r="J45" s="81"/>
    </row>
    <row r="46" spans="1:13" ht="14.15" customHeight="1" x14ac:dyDescent="0.3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5" customHeight="1" x14ac:dyDescent="0.3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132</v>
      </c>
      <c r="D48" s="257"/>
      <c r="E48" s="257"/>
      <c r="F48" s="257"/>
      <c r="G48" s="257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5" customHeight="1" x14ac:dyDescent="0.3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3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3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3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5" customHeight="1" x14ac:dyDescent="0.35">
      <c r="A55" s="101"/>
      <c r="B55" s="24"/>
      <c r="C55" s="16" t="s">
        <v>45</v>
      </c>
      <c r="D55" s="304">
        <v>7872</v>
      </c>
      <c r="E55" s="11">
        <f>E59+E58+E57+E56</f>
        <v>0</v>
      </c>
      <c r="F55" s="11">
        <f>F59+F58+F57+F56</f>
        <v>0</v>
      </c>
      <c r="G55" s="304">
        <f>D55-F55</f>
        <v>7872</v>
      </c>
      <c r="H55" s="11">
        <f>H59+H58+H57+H56</f>
        <v>0</v>
      </c>
      <c r="I55" s="257"/>
      <c r="J55" s="243"/>
    </row>
    <row r="56" spans="1:10" ht="14.15" customHeight="1" x14ac:dyDescent="0.35">
      <c r="A56" s="101"/>
      <c r="B56" s="24"/>
      <c r="C56" s="62" t="s">
        <v>24</v>
      </c>
      <c r="D56" s="305"/>
      <c r="E56" s="127"/>
      <c r="F56" s="127"/>
      <c r="G56" s="305"/>
      <c r="H56" s="127"/>
      <c r="I56" s="257"/>
      <c r="J56" s="243"/>
    </row>
    <row r="57" spans="1:10" ht="14.15" customHeight="1" x14ac:dyDescent="0.35">
      <c r="A57" s="101"/>
      <c r="B57" s="24"/>
      <c r="C57" s="62" t="s">
        <v>25</v>
      </c>
      <c r="D57" s="305"/>
      <c r="E57" s="127"/>
      <c r="F57" s="127"/>
      <c r="G57" s="305"/>
      <c r="H57" s="127"/>
      <c r="I57" s="257"/>
      <c r="J57" s="243"/>
    </row>
    <row r="58" spans="1:10" ht="14.15" customHeight="1" x14ac:dyDescent="0.35">
      <c r="A58" s="101"/>
      <c r="B58" s="24"/>
      <c r="C58" s="62" t="s">
        <v>26</v>
      </c>
      <c r="D58" s="305"/>
      <c r="E58" s="127"/>
      <c r="F58" s="127"/>
      <c r="G58" s="305"/>
      <c r="H58" s="127"/>
      <c r="I58" s="257"/>
      <c r="J58" s="243"/>
    </row>
    <row r="59" spans="1:10" ht="14.15" customHeight="1" x14ac:dyDescent="0.35">
      <c r="A59" s="101"/>
      <c r="B59" s="24"/>
      <c r="C59" s="87" t="s">
        <v>27</v>
      </c>
      <c r="D59" s="306"/>
      <c r="E59" s="192"/>
      <c r="F59" s="192"/>
      <c r="G59" s="306"/>
      <c r="H59" s="192"/>
      <c r="I59" s="257"/>
      <c r="J59" s="243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/>
      <c r="F60" s="95"/>
      <c r="G60" s="95">
        <f>D60-F60</f>
        <v>960</v>
      </c>
      <c r="H60" s="95"/>
      <c r="I60" s="257"/>
      <c r="J60" s="243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71</v>
      </c>
      <c r="F61" s="139">
        <v>2350</v>
      </c>
      <c r="G61" s="139">
        <f>D61-F61</f>
        <v>650</v>
      </c>
      <c r="H61" s="139">
        <v>3287</v>
      </c>
      <c r="I61" s="257"/>
      <c r="J61" s="243"/>
    </row>
    <row r="62" spans="1:10" ht="14.15" customHeight="1" x14ac:dyDescent="0.35">
      <c r="A62" s="101"/>
      <c r="B62" s="24"/>
      <c r="C62" s="77" t="s">
        <v>133</v>
      </c>
      <c r="D62" s="257"/>
      <c r="E62" s="257"/>
      <c r="F62" s="257"/>
      <c r="G62" s="257"/>
      <c r="H62" s="178"/>
      <c r="I62" s="178"/>
      <c r="J62" s="120"/>
    </row>
    <row r="63" spans="1:10" ht="14.15" customHeight="1" x14ac:dyDescent="0.3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3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8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7"/>
      <c r="G81" s="298" t="s">
        <v>3</v>
      </c>
      <c r="H81" s="299"/>
      <c r="I81" s="178"/>
      <c r="J81" s="243"/>
    </row>
    <row r="82" spans="1:10" ht="15" customHeight="1" x14ac:dyDescent="0.3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3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5" customHeight="1" x14ac:dyDescent="0.3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3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35">
      <c r="A86" s="1"/>
      <c r="B86" s="253"/>
      <c r="C86" s="101" t="s">
        <v>143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3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5" customHeight="1" x14ac:dyDescent="0.3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3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3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5" customHeight="1" x14ac:dyDescent="0.3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72.01782</v>
      </c>
      <c r="G92" s="11">
        <f t="shared" si="6"/>
        <v>21973.573409999997</v>
      </c>
      <c r="H92" s="11">
        <f t="shared" si="6"/>
        <v>3987.4265900000009</v>
      </c>
      <c r="I92" s="11">
        <f t="shared" si="6"/>
        <v>38194.391389999997</v>
      </c>
      <c r="J92" s="243"/>
    </row>
    <row r="93" spans="1:10" ht="15" customHeight="1" x14ac:dyDescent="0.35">
      <c r="A93" s="1"/>
      <c r="B93" s="253"/>
      <c r="C93" s="44" t="s">
        <v>20</v>
      </c>
      <c r="D93" s="45">
        <v>25957</v>
      </c>
      <c r="E93" s="45">
        <v>25136</v>
      </c>
      <c r="F93" s="23">
        <f>66.61102</f>
        <v>66.611019999999996</v>
      </c>
      <c r="G93" s="23">
        <f>21214.22916</f>
        <v>21214.229159999999</v>
      </c>
      <c r="H93" s="23">
        <f>E93-G93</f>
        <v>3921.770840000001</v>
      </c>
      <c r="I93" s="23">
        <f>37709.49845</f>
        <v>37709.498449999999</v>
      </c>
      <c r="J93" s="243"/>
    </row>
    <row r="94" spans="1:10" ht="14.15" customHeight="1" x14ac:dyDescent="0.35">
      <c r="A94" s="1"/>
      <c r="B94" s="253"/>
      <c r="C94" s="64" t="s">
        <v>21</v>
      </c>
      <c r="D94" s="49">
        <v>750</v>
      </c>
      <c r="E94" s="49">
        <v>825</v>
      </c>
      <c r="F94" s="50">
        <f>5.4068</f>
        <v>5.4067999999999996</v>
      </c>
      <c r="G94" s="50">
        <f>759.34425</f>
        <v>759.34424999999999</v>
      </c>
      <c r="H94" s="50">
        <f>E94-G94</f>
        <v>65.655750000000012</v>
      </c>
      <c r="I94" s="50">
        <f>484.89294</f>
        <v>484.89294000000001</v>
      </c>
      <c r="J94" s="243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578.90715999999998</v>
      </c>
      <c r="G95" s="11">
        <f t="shared" si="7"/>
        <v>22408.22278</v>
      </c>
      <c r="H95" s="11">
        <f t="shared" si="7"/>
        <v>26585.77722</v>
      </c>
      <c r="I95" s="11">
        <f t="shared" si="7"/>
        <v>15017.99847</v>
      </c>
      <c r="J95" s="243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547.00948000000005</v>
      </c>
      <c r="G96" s="132">
        <f t="shared" si="8"/>
        <v>16699.339</v>
      </c>
      <c r="H96" s="132">
        <f t="shared" si="8"/>
        <v>20794.661</v>
      </c>
      <c r="I96" s="132">
        <f t="shared" si="8"/>
        <v>9908.523720000001</v>
      </c>
      <c r="J96" s="243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43.31981</f>
        <v>43.319809999999997</v>
      </c>
      <c r="G97" s="127">
        <f>3478.79845</f>
        <v>3478.7984499999998</v>
      </c>
      <c r="H97" s="127">
        <f t="shared" ref="H97:H104" si="9">E97-G97</f>
        <v>6536.2015499999998</v>
      </c>
      <c r="I97" s="127">
        <f>1998.04877</f>
        <v>1998.0487700000001</v>
      </c>
      <c r="J97" s="243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205.56327</f>
        <v>205.56326999999999</v>
      </c>
      <c r="G98" s="127">
        <f>5554.27457</f>
        <v>5554.2745699999996</v>
      </c>
      <c r="H98" s="127">
        <f t="shared" si="9"/>
        <v>5059.7254300000004</v>
      </c>
      <c r="I98" s="127">
        <f>2964.1332</f>
        <v>2964.1332000000002</v>
      </c>
      <c r="J98" s="243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264.10718</f>
        <v>264.10718000000003</v>
      </c>
      <c r="G99" s="127">
        <f>5077.32283</f>
        <v>5077.3228300000001</v>
      </c>
      <c r="H99" s="127">
        <f t="shared" si="9"/>
        <v>5034.6771699999999</v>
      </c>
      <c r="I99" s="127">
        <f>2439.08795</f>
        <v>2439.0879500000001</v>
      </c>
      <c r="J99" s="243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34.01922</f>
        <v>34.019219999999997</v>
      </c>
      <c r="G100" s="127">
        <f>2588.94315</f>
        <v>2588.9431500000001</v>
      </c>
      <c r="H100" s="127">
        <f t="shared" si="9"/>
        <v>4164.0568499999999</v>
      </c>
      <c r="I100" s="127">
        <f>2507.2538</f>
        <v>2507.2538</v>
      </c>
      <c r="J100" s="243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11.01132</f>
        <v>11.01132</v>
      </c>
      <c r="G101" s="132">
        <f>4115.84889</f>
        <v>4115.8488900000002</v>
      </c>
      <c r="H101" s="132">
        <f t="shared" si="9"/>
        <v>3480.1511099999998</v>
      </c>
      <c r="I101" s="132">
        <f>3992.62402</f>
        <v>3992.6240200000002</v>
      </c>
      <c r="J101" s="243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20.88636</f>
        <v>20.88636</v>
      </c>
      <c r="G102" s="75">
        <f>1593.03489</f>
        <v>1593.0348899999999</v>
      </c>
      <c r="H102" s="75">
        <f t="shared" si="9"/>
        <v>2310.9651100000001</v>
      </c>
      <c r="I102" s="75">
        <f>1116.85073</f>
        <v>1116.8507300000001</v>
      </c>
      <c r="J102" s="243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0.07524</f>
        <v>7.5240000000000001E-2</v>
      </c>
      <c r="G103" s="98">
        <f>35.97262</f>
        <v>35.972619999999999</v>
      </c>
      <c r="H103" s="98">
        <f t="shared" si="9"/>
        <v>283.02737999999999</v>
      </c>
      <c r="I103" s="98">
        <f>11.24867</f>
        <v>11.248670000000001</v>
      </c>
      <c r="J103" s="243"/>
    </row>
    <row r="104" spans="1:10" ht="18" customHeight="1" x14ac:dyDescent="0.35">
      <c r="A104" s="1"/>
      <c r="B104" s="253"/>
      <c r="C104" s="73" t="s">
        <v>54</v>
      </c>
      <c r="D104" s="143">
        <v>300</v>
      </c>
      <c r="E104" s="143">
        <v>300</v>
      </c>
      <c r="F104" s="139">
        <f>0.30541</f>
        <v>0.30541000000000001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35">
      <c r="A105" s="1"/>
      <c r="B105" s="253"/>
      <c r="C105" s="93" t="s">
        <v>38</v>
      </c>
      <c r="D105" s="143">
        <v>50</v>
      </c>
      <c r="E105" s="143">
        <v>50</v>
      </c>
      <c r="F105" s="98">
        <f>0.0684</f>
        <v>6.8400000000000002E-2</v>
      </c>
      <c r="G105" s="98">
        <f>19.11392</f>
        <v>19.11392</v>
      </c>
      <c r="H105" s="139">
        <f>E105-G105</f>
        <v>30.88608</v>
      </c>
      <c r="I105" s="98">
        <f>6.48146</f>
        <v>6.4814600000000002</v>
      </c>
      <c r="J105" s="243"/>
    </row>
    <row r="106" spans="1:10" ht="18" customHeight="1" x14ac:dyDescent="0.3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16.02412</f>
        <v>16.02412</v>
      </c>
      <c r="H106" s="139">
        <f t="shared" ref="H106" si="10">E106-G106</f>
        <v>-16.02412</v>
      </c>
      <c r="I106" s="139">
        <f>23.28016</f>
        <v>23.280159999999999</v>
      </c>
      <c r="J106" s="243"/>
    </row>
    <row r="107" spans="1:10" ht="16.5" customHeight="1" x14ac:dyDescent="0.3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651.37403000000006</v>
      </c>
      <c r="G107" s="76">
        <f t="shared" si="12"/>
        <v>44752.906849999999</v>
      </c>
      <c r="H107" s="76">
        <f t="shared" si="12"/>
        <v>30871.093150000001</v>
      </c>
      <c r="I107" s="76">
        <f t="shared" si="12"/>
        <v>53553.400150000001</v>
      </c>
      <c r="J107" s="243"/>
    </row>
    <row r="108" spans="1:10" ht="13.5" customHeight="1" x14ac:dyDescent="0.35">
      <c r="A108" s="1"/>
      <c r="B108" s="253"/>
      <c r="C108" s="77" t="s">
        <v>134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3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35">
      <c r="A110" s="1"/>
      <c r="B110" s="24"/>
      <c r="C110" s="161" t="s">
        <v>135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3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3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49999999999999" customHeight="1" x14ac:dyDescent="0.3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3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5" customHeight="1" x14ac:dyDescent="0.3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5" customHeight="1" x14ac:dyDescent="0.3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5" customHeight="1" x14ac:dyDescent="0.3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3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3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3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5" customHeight="1" x14ac:dyDescent="0.3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2369.2363500000001</v>
      </c>
      <c r="G128" s="11">
        <f t="shared" si="13"/>
        <v>35501.24667</v>
      </c>
      <c r="H128" s="11">
        <f t="shared" si="13"/>
        <v>36805.75333</v>
      </c>
      <c r="I128" s="11">
        <f t="shared" si="13"/>
        <v>33026.192710000003</v>
      </c>
      <c r="J128" s="243"/>
    </row>
    <row r="129" spans="1:10" ht="14.15" customHeight="1" x14ac:dyDescent="0.35">
      <c r="A129" s="1"/>
      <c r="B129" s="253"/>
      <c r="C129" s="44" t="s">
        <v>20</v>
      </c>
      <c r="D129" s="45">
        <v>60688</v>
      </c>
      <c r="E129" s="45">
        <v>57562</v>
      </c>
      <c r="F129" s="23">
        <f>2188.5456</f>
        <v>2188.5455999999999</v>
      </c>
      <c r="G129" s="23">
        <f>31228.50357</f>
        <v>31228.503570000001</v>
      </c>
      <c r="H129" s="23">
        <f>E129-G129</f>
        <v>26333.496429999999</v>
      </c>
      <c r="I129" s="23">
        <f>28532.95428</f>
        <v>28532.954280000002</v>
      </c>
      <c r="J129" s="243"/>
    </row>
    <row r="130" spans="1:10" ht="15" customHeight="1" x14ac:dyDescent="0.35">
      <c r="A130" s="1"/>
      <c r="B130" s="253"/>
      <c r="C130" s="44" t="s">
        <v>21</v>
      </c>
      <c r="D130" s="45">
        <v>14672</v>
      </c>
      <c r="E130" s="45">
        <v>14245</v>
      </c>
      <c r="F130" s="23">
        <f>180.69075</f>
        <v>180.69075000000001</v>
      </c>
      <c r="G130" s="23">
        <f>4207.29295</f>
        <v>4207.29295</v>
      </c>
      <c r="H130" s="23">
        <f>E130-G130</f>
        <v>10037.707050000001</v>
      </c>
      <c r="I130" s="23">
        <f>4377.93218</f>
        <v>4377.9321799999998</v>
      </c>
      <c r="J130" s="243"/>
    </row>
    <row r="131" spans="1:10" ht="13.5" customHeight="1" x14ac:dyDescent="0.3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52496</v>
      </c>
      <c r="F132" s="95">
        <f>290.7446</f>
        <v>290.74459999999999</v>
      </c>
      <c r="G132" s="95">
        <f>623.7558+1728.869595</f>
        <v>2352.625395</v>
      </c>
      <c r="H132" s="95">
        <f>E132-G132</f>
        <v>50143.374604999997</v>
      </c>
      <c r="I132" s="95">
        <f>4522.61693</f>
        <v>4522.6169300000001</v>
      </c>
      <c r="J132" s="116"/>
    </row>
    <row r="133" spans="1:10" ht="15.75" customHeight="1" x14ac:dyDescent="0.3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395.87843000000004</v>
      </c>
      <c r="G133" s="94">
        <f t="shared" ref="G133" si="14">G134+G139+G142</f>
        <v>43384.680415000003</v>
      </c>
      <c r="H133" s="94">
        <f>H134+H139+H142</f>
        <v>36780.319584999997</v>
      </c>
      <c r="I133" s="94">
        <f>I134+I139+I142</f>
        <v>42974.227910000001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309.80319000000003</v>
      </c>
      <c r="G134" s="125">
        <f>G135+G136+G138+G137</f>
        <v>32264.521405</v>
      </c>
      <c r="H134" s="125">
        <f>H135+H136+H137+H138</f>
        <v>26814.478594999997</v>
      </c>
      <c r="I134" s="125">
        <f>I135+I136+I137+I138</f>
        <v>34196.562969999999</v>
      </c>
      <c r="J134" s="279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17774</v>
      </c>
      <c r="F135" s="127">
        <f>87.72587</f>
        <v>87.72587</v>
      </c>
      <c r="G135" s="127">
        <v>6201.5363399999997</v>
      </c>
      <c r="H135" s="127">
        <f>E135-G135</f>
        <v>11572.463660000001</v>
      </c>
      <c r="I135" s="127">
        <f>5412.36607</f>
        <v>5412.36607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14939</v>
      </c>
      <c r="F136" s="127">
        <f>62.17884</f>
        <v>62.178840000000001</v>
      </c>
      <c r="G136" s="127">
        <v>10055.720105</v>
      </c>
      <c r="H136" s="127">
        <f>E136-G136</f>
        <v>4883.2798949999997</v>
      </c>
      <c r="I136" s="127">
        <f>9660.89262</f>
        <v>9660.8926200000005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13051</v>
      </c>
      <c r="F137" s="127">
        <f>133.22988</f>
        <v>133.22988000000001</v>
      </c>
      <c r="G137" s="127">
        <v>8429.1381600000004</v>
      </c>
      <c r="H137" s="127">
        <f>E137-G137</f>
        <v>4621.8618399999996</v>
      </c>
      <c r="I137" s="127">
        <f>9066.0771</f>
        <v>9066.0771000000004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13315</v>
      </c>
      <c r="F138" s="127">
        <f>26.6686</f>
        <v>26.668600000000001</v>
      </c>
      <c r="G138" s="127">
        <v>7578.1268000000009</v>
      </c>
      <c r="H138" s="127">
        <f>E138-G138</f>
        <v>5736.8731999999991</v>
      </c>
      <c r="I138" s="127">
        <f>10057.22718</f>
        <v>10057.22718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17.40165</v>
      </c>
      <c r="G139" s="132">
        <f>SUM(G140:G141)</f>
        <v>8143.70003</v>
      </c>
      <c r="H139" s="132">
        <f>H140+H141</f>
        <v>786.29997000000026</v>
      </c>
      <c r="I139" s="132">
        <f>SUM(I140:I141)</f>
        <v>5853.34285</v>
      </c>
      <c r="J139" s="133"/>
    </row>
    <row r="140" spans="1:10" ht="14.15" customHeight="1" x14ac:dyDescent="0.35">
      <c r="A140" s="1"/>
      <c r="B140" s="253"/>
      <c r="C140" s="62" t="s">
        <v>66</v>
      </c>
      <c r="D140" s="63">
        <v>8070</v>
      </c>
      <c r="E140" s="63">
        <v>8430</v>
      </c>
      <c r="F140" s="127">
        <f>12.1218</f>
        <v>12.1218</v>
      </c>
      <c r="G140" s="127">
        <f>7939.18402</f>
        <v>7939.1840199999997</v>
      </c>
      <c r="H140" s="127">
        <f t="shared" ref="H140:H148" si="15">E140-G140</f>
        <v>490.81598000000031</v>
      </c>
      <c r="I140" s="127">
        <f>5731.73842</f>
        <v>5731.7384199999997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5.27985</f>
        <v>5.2798499999999997</v>
      </c>
      <c r="G141" s="127">
        <f>204.51601</f>
        <v>204.51600999999999</v>
      </c>
      <c r="H141" s="127">
        <f t="shared" si="15"/>
        <v>295.48399000000001</v>
      </c>
      <c r="I141" s="127">
        <f>121.60443</f>
        <v>121.60442999999999</v>
      </c>
      <c r="J141" s="134"/>
    </row>
    <row r="142" spans="1:10" ht="15.75" customHeight="1" x14ac:dyDescent="0.35">
      <c r="A142" s="1"/>
      <c r="B142" s="253"/>
      <c r="C142" s="38" t="s">
        <v>11</v>
      </c>
      <c r="D142" s="61">
        <v>10907</v>
      </c>
      <c r="E142" s="61">
        <v>12156</v>
      </c>
      <c r="F142" s="75">
        <f>68.67359</f>
        <v>68.673590000000004</v>
      </c>
      <c r="G142" s="75">
        <f>2976.45898</f>
        <v>2976.4589799999999</v>
      </c>
      <c r="H142" s="75">
        <f t="shared" si="15"/>
        <v>9179.5410200000006</v>
      </c>
      <c r="I142" s="75">
        <f>2924.32209</f>
        <v>2924.3220900000001</v>
      </c>
      <c r="J142" s="120"/>
    </row>
    <row r="143" spans="1:10" ht="15.75" customHeight="1" x14ac:dyDescent="0.35">
      <c r="A143" s="1"/>
      <c r="B143" s="253"/>
      <c r="C143" s="142" t="s">
        <v>34</v>
      </c>
      <c r="D143" s="143">
        <v>146</v>
      </c>
      <c r="E143" s="143">
        <v>146</v>
      </c>
      <c r="F143" s="139">
        <f>0.03645</f>
        <v>3.6450000000000003E-2</v>
      </c>
      <c r="G143" s="139">
        <f>15.6255</f>
        <v>15.625500000000001</v>
      </c>
      <c r="H143" s="139">
        <f t="shared" si="15"/>
        <v>130.37450000000001</v>
      </c>
      <c r="I143" s="139">
        <f>21.32725</f>
        <v>21.327249999999999</v>
      </c>
      <c r="J143" s="120"/>
    </row>
    <row r="144" spans="1:10" ht="15.75" customHeight="1" x14ac:dyDescent="0.3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0</f>
        <v>0</v>
      </c>
      <c r="H144" s="98">
        <f t="shared" si="15"/>
        <v>250</v>
      </c>
      <c r="I144" s="98">
        <f>101.639</f>
        <v>101.639</v>
      </c>
      <c r="J144" s="120"/>
    </row>
    <row r="145" spans="1:10" ht="18" customHeight="1" x14ac:dyDescent="0.35">
      <c r="A145" s="1"/>
      <c r="B145" s="253"/>
      <c r="C145" s="140" t="s">
        <v>69</v>
      </c>
      <c r="D145" s="143">
        <v>2000</v>
      </c>
      <c r="E145" s="143">
        <v>2000</v>
      </c>
      <c r="F145" s="139">
        <f>5.05674</f>
        <v>5.0567399999999996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3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3"/>
      <c r="C147" s="142" t="s">
        <v>70</v>
      </c>
      <c r="D147" s="143">
        <v>276</v>
      </c>
      <c r="E147" s="143">
        <v>276</v>
      </c>
      <c r="F147" s="98">
        <f>1.2852</f>
        <v>1.2851999999999999</v>
      </c>
      <c r="G147" s="98">
        <f>37.69003</f>
        <v>37.69003</v>
      </c>
      <c r="H147" s="139">
        <f t="shared" si="15"/>
        <v>238.30996999999999</v>
      </c>
      <c r="I147" s="98">
        <f>26.36163</f>
        <v>26.361630000000002</v>
      </c>
      <c r="J147" s="120"/>
    </row>
    <row r="148" spans="1:10" ht="15" customHeight="1" x14ac:dyDescent="0.35">
      <c r="A148" s="1"/>
      <c r="B148" s="253"/>
      <c r="C148" s="142" t="s">
        <v>39</v>
      </c>
      <c r="D148" s="145"/>
      <c r="E148" s="143"/>
      <c r="F148" s="139">
        <f>0</f>
        <v>0</v>
      </c>
      <c r="G148" s="139">
        <f>109.98109</f>
        <v>109.98108999999999</v>
      </c>
      <c r="H148" s="139">
        <f t="shared" si="15"/>
        <v>-109.98108999999999</v>
      </c>
      <c r="I148" s="139">
        <f>86.5963</f>
        <v>86.596299999999999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3062.2377700000002</v>
      </c>
      <c r="G150" s="76">
        <f>G128+G132+G133+G143+G144+G145+G146+G147+G148</f>
        <v>83401.849100000007</v>
      </c>
      <c r="H150" s="76">
        <f>H128+H132+H133+H143+H144+H145+H146+H147+H148</f>
        <v>124238.15089999999</v>
      </c>
      <c r="I150" s="76">
        <f>I128+I132+I133+I143+I144+I145+I146+I147+I148</f>
        <v>82758.96173000001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136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3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3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35">
      <c r="A156" s="156"/>
      <c r="B156" s="52"/>
      <c r="C156" s="77" t="s">
        <v>137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5" customHeight="1" x14ac:dyDescent="0.3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5" customHeight="1" x14ac:dyDescent="0.3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5" customHeight="1" x14ac:dyDescent="0.3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5" customHeight="1" x14ac:dyDescent="0.3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5" customHeight="1" x14ac:dyDescent="0.3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3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3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5" customHeight="1" x14ac:dyDescent="0.35">
      <c r="A175" s="1"/>
      <c r="B175" s="253"/>
      <c r="C175" s="141" t="s">
        <v>75</v>
      </c>
      <c r="D175" s="94">
        <v>4223</v>
      </c>
      <c r="E175" s="275">
        <f>0</f>
        <v>0</v>
      </c>
      <c r="F175" s="275">
        <f>351.18581</f>
        <v>351.18581</v>
      </c>
      <c r="G175" s="43">
        <f>D175-F175-F176</f>
        <v>3112.7570999999998</v>
      </c>
      <c r="H175" s="275">
        <f>649.58743</f>
        <v>649.58743000000004</v>
      </c>
      <c r="I175" s="1"/>
      <c r="J175" s="120"/>
    </row>
    <row r="176" spans="1:10" ht="14.15" customHeight="1" x14ac:dyDescent="0.35">
      <c r="A176" s="1"/>
      <c r="B176" s="253"/>
      <c r="C176" s="137" t="s">
        <v>53</v>
      </c>
      <c r="D176" s="181"/>
      <c r="E176" s="152">
        <f>23.0888</f>
        <v>23.088799999999999</v>
      </c>
      <c r="F176" s="152">
        <f>759.05709</f>
        <v>759.05709000000002</v>
      </c>
      <c r="G176" s="216"/>
      <c r="H176" s="152">
        <f>360.34765</f>
        <v>360.34764999999999</v>
      </c>
      <c r="I176" s="1"/>
      <c r="J176" s="120"/>
    </row>
    <row r="177" spans="1:10" ht="15.65" customHeight="1" x14ac:dyDescent="0.3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41.97468</f>
        <v>41.974679999999999</v>
      </c>
      <c r="G177" s="172">
        <f>D177-F177</f>
        <v>158.02531999999999</v>
      </c>
      <c r="H177" s="172">
        <f>32.42226</f>
        <v>32.422260000000001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8.01858</v>
      </c>
      <c r="F178" s="181">
        <f>F179+F180+F181</f>
        <v>111.55427</v>
      </c>
      <c r="G178" s="181">
        <f>D178-F178</f>
        <v>6222.4457300000004</v>
      </c>
      <c r="H178" s="181">
        <f>H179+H180+H181</f>
        <v>29.587479999999999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3.87418</f>
        <v>3.87418</v>
      </c>
      <c r="F179" s="127">
        <f>51.93019</f>
        <v>51.930190000000003</v>
      </c>
      <c r="G179" s="127"/>
      <c r="H179" s="127">
        <f>10.15844</f>
        <v>10.158440000000001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3.4954</f>
        <v>3.4954000000000001</v>
      </c>
      <c r="F180" s="127">
        <f>27.84366</f>
        <v>27.84366</v>
      </c>
      <c r="G180" s="127"/>
      <c r="H180" s="127">
        <f>18.32492</f>
        <v>18.324919999999999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0.649</f>
        <v>0.64900000000000002</v>
      </c>
      <c r="F181" s="192">
        <f>31.78042</f>
        <v>31.780419999999999</v>
      </c>
      <c r="G181" s="192"/>
      <c r="H181" s="192">
        <f>1.10412</f>
        <v>1.10412</v>
      </c>
      <c r="I181" s="186"/>
      <c r="J181" s="187"/>
    </row>
    <row r="182" spans="1:10" ht="14.15" customHeight="1" x14ac:dyDescent="0.3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3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31.107379999999999</v>
      </c>
      <c r="F184" s="194">
        <f>F175+F176+F177+F178+F182+F183</f>
        <v>1263.7718500000001</v>
      </c>
      <c r="G184" s="194">
        <f>D184-F184</f>
        <v>9559.228149999999</v>
      </c>
      <c r="H184" s="194">
        <f>H175+H176+H177+H178+H182+H183</f>
        <v>1071.9448199999999</v>
      </c>
      <c r="I184" s="163"/>
      <c r="J184" s="160"/>
    </row>
    <row r="185" spans="1:10" ht="42" customHeight="1" x14ac:dyDescent="0.35">
      <c r="A185" s="1"/>
      <c r="B185" s="198"/>
      <c r="C185" s="226" t="s">
        <v>118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3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3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3"/>
      <c r="C197" s="101" t="s">
        <v>124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3"/>
      <c r="C198" s="101" t="s">
        <v>125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3"/>
      <c r="C199" s="101" t="s">
        <v>128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3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35">
      <c r="A204" s="1"/>
      <c r="B204" s="253"/>
      <c r="C204" s="90" t="s">
        <v>4</v>
      </c>
      <c r="D204" s="124">
        <v>46282</v>
      </c>
      <c r="E204" s="124">
        <f>1.11353</f>
        <v>1.1135299999999999</v>
      </c>
      <c r="F204" s="124">
        <f>13114.23511</f>
        <v>13114.23511</v>
      </c>
      <c r="G204" s="124">
        <f>D204-F204</f>
        <v>33167.764889999999</v>
      </c>
      <c r="H204" s="124">
        <f>8211.28955</f>
        <v>8211.2895499999995</v>
      </c>
      <c r="I204" s="247"/>
      <c r="J204" s="120"/>
    </row>
    <row r="205" spans="1:10" ht="15" customHeight="1" x14ac:dyDescent="0.35">
      <c r="A205" s="1"/>
      <c r="B205" s="253"/>
      <c r="C205" s="90" t="s">
        <v>67</v>
      </c>
      <c r="D205" s="124">
        <v>100</v>
      </c>
      <c r="E205" s="124">
        <f>0.8039</f>
        <v>0.80389999999999995</v>
      </c>
      <c r="F205" s="124">
        <f>15.74133</f>
        <v>15.74133</v>
      </c>
      <c r="G205" s="124">
        <f>D205-F205</f>
        <v>84.258669999999995</v>
      </c>
      <c r="H205" s="124">
        <f>2.28113</f>
        <v>2.2811300000000001</v>
      </c>
      <c r="I205" s="247"/>
      <c r="J205" s="120"/>
    </row>
    <row r="206" spans="1:10" ht="15.75" customHeight="1" x14ac:dyDescent="0.3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35">
      <c r="A207" s="1"/>
      <c r="B207" s="253"/>
      <c r="C207" s="179" t="s">
        <v>87</v>
      </c>
      <c r="D207" s="190">
        <f>SUM(D204:D206)</f>
        <v>46418</v>
      </c>
      <c r="E207" s="190">
        <f>SUM(E204:E206)</f>
        <v>1.91743</v>
      </c>
      <c r="F207" s="190">
        <f>SUM(F204:F206)</f>
        <v>13129.97644</v>
      </c>
      <c r="G207" s="190">
        <f>D207-F207</f>
        <v>33288.023560000001</v>
      </c>
      <c r="H207" s="190">
        <f>SUM(H204:H206)</f>
        <v>8213.5706799999989</v>
      </c>
      <c r="I207" s="247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5">
      <c r="A243" s="150"/>
      <c r="B243" s="1"/>
      <c r="C243" s="214" t="s">
        <v>119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3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35">
      <c r="A249" s="1"/>
      <c r="B249" s="253"/>
      <c r="C249" s="90" t="s">
        <v>126</v>
      </c>
      <c r="D249" s="124">
        <v>3987</v>
      </c>
      <c r="E249" s="75">
        <f>E250+E251</f>
        <v>197.08861000000002</v>
      </c>
      <c r="F249" s="75">
        <f>F250+F251</f>
        <v>2596.4438800000003</v>
      </c>
      <c r="G249" s="75">
        <f>D249-F249</f>
        <v>1390.5561199999997</v>
      </c>
      <c r="H249" s="75">
        <f>H250+H251</f>
        <v>1498.90779</v>
      </c>
      <c r="I249" s="247"/>
      <c r="J249" s="120"/>
    </row>
    <row r="250" spans="1:10" ht="15" customHeight="1" x14ac:dyDescent="0.35">
      <c r="A250" s="1"/>
      <c r="B250" s="253"/>
      <c r="C250" s="177" t="s">
        <v>8</v>
      </c>
      <c r="D250" s="124"/>
      <c r="E250" s="75">
        <f>191.41844</f>
        <v>191.41844</v>
      </c>
      <c r="F250" s="75">
        <f>2136.56917</f>
        <v>2136.5691700000002</v>
      </c>
      <c r="G250" s="75"/>
      <c r="H250" s="75">
        <f>1086.65646</f>
        <v>1086.6564599999999</v>
      </c>
      <c r="I250" s="247"/>
      <c r="J250" s="120"/>
    </row>
    <row r="251" spans="1:10" ht="15" customHeight="1" x14ac:dyDescent="0.35">
      <c r="A251" s="1"/>
      <c r="B251" s="253"/>
      <c r="C251" s="177" t="s">
        <v>67</v>
      </c>
      <c r="D251" s="124"/>
      <c r="E251" s="124">
        <f>5.67017</f>
        <v>5.6701699999999997</v>
      </c>
      <c r="F251" s="124">
        <f>459.87471</f>
        <v>459.87470999999999</v>
      </c>
      <c r="G251" s="168"/>
      <c r="H251" s="124">
        <f>412.25133</f>
        <v>412.25133</v>
      </c>
      <c r="I251" s="247"/>
      <c r="J251" s="120"/>
    </row>
    <row r="252" spans="1:10" ht="15" customHeight="1" x14ac:dyDescent="0.35">
      <c r="A252" s="1"/>
      <c r="B252" s="253"/>
      <c r="C252" s="90" t="s">
        <v>127</v>
      </c>
      <c r="D252" s="124">
        <v>4613</v>
      </c>
      <c r="E252" s="75">
        <f>255.26481</f>
        <v>255.26481000000001</v>
      </c>
      <c r="F252" s="75">
        <f>3530.94203</f>
        <v>3530.9420300000002</v>
      </c>
      <c r="G252" s="75">
        <f>D252-F252</f>
        <v>1082.0579699999998</v>
      </c>
      <c r="H252" s="75">
        <f>3205.89815</f>
        <v>3205.89815</v>
      </c>
      <c r="I252" s="247"/>
      <c r="J252" s="120"/>
    </row>
    <row r="253" spans="1:10" ht="16.5" customHeight="1" x14ac:dyDescent="0.35">
      <c r="A253" s="1"/>
      <c r="B253" s="253"/>
      <c r="C253" s="179" t="s">
        <v>87</v>
      </c>
      <c r="D253" s="190">
        <f>D252+D249</f>
        <v>8600</v>
      </c>
      <c r="E253" s="190">
        <f>SUM(E249,E252)</f>
        <v>452.35342000000003</v>
      </c>
      <c r="F253" s="190">
        <f>SUM(F249,F252)</f>
        <v>6127.3859100000009</v>
      </c>
      <c r="G253" s="190">
        <f>D253-F253</f>
        <v>2472.6140899999991</v>
      </c>
      <c r="H253" s="190">
        <f>SUM(H249,H252)</f>
        <v>4704.8059400000002</v>
      </c>
      <c r="I253" s="247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5">
      <c r="A289" s="150"/>
      <c r="B289" s="1"/>
      <c r="C289" s="214" t="s">
        <v>120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3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35">
      <c r="A295" s="1"/>
      <c r="B295" s="253"/>
      <c r="C295" s="90" t="s">
        <v>126</v>
      </c>
      <c r="D295" s="124">
        <v>5090</v>
      </c>
      <c r="E295" s="75">
        <f>E296+E297</f>
        <v>315.05862999999999</v>
      </c>
      <c r="F295" s="75">
        <f>F296+F297</f>
        <v>2428.7828199999999</v>
      </c>
      <c r="G295" s="75">
        <f>D295-F295</f>
        <v>2661.2171800000001</v>
      </c>
      <c r="H295" s="75">
        <f>H296+H297</f>
        <v>1293.1474499999999</v>
      </c>
      <c r="I295" s="247"/>
      <c r="J295" s="120"/>
    </row>
    <row r="296" spans="1:10" ht="15" customHeight="1" x14ac:dyDescent="0.35">
      <c r="A296" s="1"/>
      <c r="B296" s="253"/>
      <c r="C296" s="177" t="s">
        <v>8</v>
      </c>
      <c r="D296" s="124"/>
      <c r="E296" s="75">
        <f>311.94356</f>
        <v>311.94355999999999</v>
      </c>
      <c r="F296" s="75">
        <f>2066.63861</f>
        <v>2066.63861</v>
      </c>
      <c r="G296" s="75"/>
      <c r="H296" s="75">
        <f>990.31326</f>
        <v>990.31326000000001</v>
      </c>
      <c r="I296" s="247"/>
      <c r="J296" s="120"/>
    </row>
    <row r="297" spans="1:10" ht="15" customHeight="1" x14ac:dyDescent="0.35">
      <c r="A297" s="1"/>
      <c r="B297" s="253"/>
      <c r="C297" s="177" t="s">
        <v>67</v>
      </c>
      <c r="D297" s="124"/>
      <c r="E297" s="124">
        <f>3.11507</f>
        <v>3.1150699999999998</v>
      </c>
      <c r="F297" s="124">
        <f>362.14421</f>
        <v>362.14420999999999</v>
      </c>
      <c r="G297" s="168"/>
      <c r="H297" s="124">
        <f>302.83419</f>
        <v>302.83418999999998</v>
      </c>
      <c r="I297" s="247"/>
      <c r="J297" s="120"/>
    </row>
    <row r="298" spans="1:10" ht="15" customHeight="1" x14ac:dyDescent="0.35">
      <c r="A298" s="1"/>
      <c r="B298" s="253"/>
      <c r="C298" s="90" t="s">
        <v>127</v>
      </c>
      <c r="D298" s="124">
        <v>2981</v>
      </c>
      <c r="E298" s="75">
        <f>63.28978</f>
        <v>63.28978</v>
      </c>
      <c r="F298" s="75">
        <f>1634.53728</f>
        <v>1634.53728</v>
      </c>
      <c r="G298" s="75">
        <f>D298-F298</f>
        <v>1346.46272</v>
      </c>
      <c r="H298" s="75">
        <f>1548.21868</f>
        <v>1548.2186799999999</v>
      </c>
      <c r="I298" s="247"/>
      <c r="J298" s="120"/>
    </row>
    <row r="299" spans="1:10" ht="16.5" customHeight="1" x14ac:dyDescent="0.35">
      <c r="A299" s="1"/>
      <c r="B299" s="253"/>
      <c r="C299" s="179" t="s">
        <v>87</v>
      </c>
      <c r="D299" s="190">
        <f>D298+D295</f>
        <v>8071</v>
      </c>
      <c r="E299" s="190">
        <f>SUM(E295,E298)</f>
        <v>378.34841</v>
      </c>
      <c r="F299" s="190">
        <f>SUM(F295,F298)</f>
        <v>4063.3200999999999</v>
      </c>
      <c r="G299" s="190">
        <f>D299-F299</f>
        <v>4007.6799000000001</v>
      </c>
      <c r="H299" s="190">
        <f>SUM(H295,H298)</f>
        <v>2841.3661299999999</v>
      </c>
      <c r="I299" s="247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3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3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5" customHeight="1" x14ac:dyDescent="0.3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5" customHeight="1" x14ac:dyDescent="0.3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35">
      <c r="A342" s="1"/>
      <c r="B342" s="253"/>
      <c r="C342" s="247" t="s">
        <v>129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3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5" customHeight="1" x14ac:dyDescent="0.3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3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11.88645</f>
        <v>11.88645</v>
      </c>
      <c r="F350" s="124">
        <f>254.62967</f>
        <v>254.62967</v>
      </c>
      <c r="G350" s="124">
        <f>D350-F350</f>
        <v>545.37032999999997</v>
      </c>
      <c r="H350" s="124">
        <f>168.57074</f>
        <v>168.57074</v>
      </c>
      <c r="I350" s="67"/>
      <c r="J350" s="243"/>
    </row>
    <row r="351" spans="1:10" ht="14.15" customHeight="1" x14ac:dyDescent="0.35">
      <c r="A351" s="1"/>
      <c r="B351" s="253"/>
      <c r="C351" s="90" t="s">
        <v>94</v>
      </c>
      <c r="D351" s="245">
        <v>3041</v>
      </c>
      <c r="E351" s="124">
        <f>26.43354</f>
        <v>26.433540000000001</v>
      </c>
      <c r="F351" s="124">
        <f>469.87921</f>
        <v>469.87921</v>
      </c>
      <c r="G351" s="124">
        <f>D351-F351</f>
        <v>2571.1207899999999</v>
      </c>
      <c r="H351" s="124">
        <f>495.8255</f>
        <v>495.82549999999998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0.61006</f>
        <v>0.61006000000000005</v>
      </c>
      <c r="G352" s="124">
        <f>D352-F352</f>
        <v>9.3899399999999993</v>
      </c>
      <c r="H352" s="168">
        <f>0.6352</f>
        <v>0.63519999999999999</v>
      </c>
      <c r="I352" s="67"/>
      <c r="J352" s="248"/>
    </row>
    <row r="353" spans="1:10" ht="18.75" customHeight="1" x14ac:dyDescent="0.35">
      <c r="A353" s="67"/>
      <c r="B353" s="249"/>
      <c r="C353" s="146" t="s">
        <v>95</v>
      </c>
      <c r="D353" s="221"/>
      <c r="E353" s="168">
        <f>0</f>
        <v>0</v>
      </c>
      <c r="F353" s="168">
        <f>0.047</f>
        <v>4.7E-2</v>
      </c>
      <c r="G353" s="124">
        <f>D353-F353</f>
        <v>-4.7E-2</v>
      </c>
      <c r="H353" s="168">
        <f>0.41232</f>
        <v>0.41232000000000002</v>
      </c>
      <c r="I353" s="283"/>
      <c r="J353" s="120"/>
    </row>
    <row r="354" spans="1:10" ht="14.15" customHeight="1" x14ac:dyDescent="0.35">
      <c r="A354" s="1"/>
      <c r="B354" s="253"/>
      <c r="C354" s="179" t="s">
        <v>87</v>
      </c>
      <c r="D354" s="6">
        <f>D339</f>
        <v>3851</v>
      </c>
      <c r="E354" s="190">
        <f>SUM(E350:E353)</f>
        <v>38.319990000000004</v>
      </c>
      <c r="F354" s="190">
        <f>SUM(F350:F353)</f>
        <v>725.16593999999998</v>
      </c>
      <c r="G354" s="190">
        <f>D354-F354</f>
        <v>3125.8340600000001</v>
      </c>
      <c r="H354" s="190">
        <f>H350+H351+H352+H353</f>
        <v>665.44376000000011</v>
      </c>
      <c r="I354" s="1"/>
      <c r="J354" s="120"/>
    </row>
    <row r="355" spans="1:10" ht="14.15" customHeight="1" x14ac:dyDescent="0.3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116</v>
      </c>
    </row>
    <row r="358" spans="1:10" ht="14.15" customHeight="1" x14ac:dyDescent="0.35">
      <c r="A358" s="1" t="s">
        <v>116</v>
      </c>
    </row>
    <row r="359" spans="1:10" ht="14.15" customHeight="1" x14ac:dyDescent="0.35">
      <c r="A359" s="1" t="s">
        <v>116</v>
      </c>
    </row>
    <row r="360" spans="1:10" ht="14.15" customHeight="1" x14ac:dyDescent="0.35">
      <c r="A360" s="1"/>
      <c r="C360" s="150" t="s">
        <v>116</v>
      </c>
    </row>
    <row r="361" spans="1:10" x14ac:dyDescent="0.35">
      <c r="A361" s="1"/>
      <c r="C361" s="150" t="s">
        <v>116</v>
      </c>
    </row>
    <row r="362" spans="1:10" ht="14.15" customHeight="1" x14ac:dyDescent="0.35">
      <c r="A362" s="1"/>
      <c r="C362" s="150" t="s">
        <v>116</v>
      </c>
    </row>
    <row r="363" spans="1:10" ht="14.15" customHeight="1" x14ac:dyDescent="0.35">
      <c r="A363" s="1"/>
      <c r="C363" s="150" t="s">
        <v>116</v>
      </c>
    </row>
    <row r="364" spans="1:10" ht="30" customHeight="1" x14ac:dyDescent="0.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140</v>
      </c>
      <c r="D373" s="178"/>
      <c r="E373" s="178"/>
      <c r="F373" s="178"/>
      <c r="G373" s="1"/>
      <c r="H373" s="178"/>
      <c r="I373" s="178"/>
      <c r="J373" s="243"/>
    </row>
    <row r="374" spans="1:10" ht="13.4" customHeight="1" x14ac:dyDescent="0.35">
      <c r="B374" s="72"/>
      <c r="C374" s="212" t="s">
        <v>141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3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3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5" customHeight="1" x14ac:dyDescent="0.3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353.79268999999999</v>
      </c>
      <c r="G380" s="252">
        <f t="shared" si="17"/>
        <v>5929.6803799999998</v>
      </c>
      <c r="H380" s="252">
        <f>H384+H383+H382+H381</f>
        <v>17039.319620000002</v>
      </c>
      <c r="I380" s="252">
        <f t="shared" si="17"/>
        <v>4002.3750600000003</v>
      </c>
      <c r="J380" s="130"/>
    </row>
    <row r="381" spans="1:10" ht="14.15" customHeight="1" x14ac:dyDescent="0.35">
      <c r="A381" s="217"/>
      <c r="B381" s="72"/>
      <c r="C381" s="254" t="s">
        <v>104</v>
      </c>
      <c r="D381" s="255">
        <v>12051</v>
      </c>
      <c r="E381" s="255">
        <v>13190</v>
      </c>
      <c r="F381" s="256">
        <f>305.88045</f>
        <v>305.88045</v>
      </c>
      <c r="G381" s="256">
        <f>3965.78778</f>
        <v>3965.7877800000001</v>
      </c>
      <c r="H381" s="256">
        <f t="shared" ref="H381:H385" si="18">E381-G381</f>
        <v>9224.2122199999994</v>
      </c>
      <c r="I381" s="256">
        <f>1910.63297</f>
        <v>1910.6329699999999</v>
      </c>
      <c r="J381" s="130"/>
    </row>
    <row r="382" spans="1:10" ht="14.15" customHeight="1" x14ac:dyDescent="0.3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832.04145</f>
        <v>832.04145000000005</v>
      </c>
      <c r="H382" s="256">
        <f t="shared" si="18"/>
        <v>2600.9585499999998</v>
      </c>
      <c r="I382" s="256">
        <f>764.7831</f>
        <v>764.78309999999999</v>
      </c>
      <c r="J382" s="130"/>
    </row>
    <row r="383" spans="1:10" ht="14.15" customHeight="1" x14ac:dyDescent="0.35">
      <c r="A383" s="217"/>
      <c r="B383" s="72"/>
      <c r="C383" s="259" t="s">
        <v>100</v>
      </c>
      <c r="D383" s="255">
        <v>1454</v>
      </c>
      <c r="E383" s="255">
        <v>1483</v>
      </c>
      <c r="F383" s="256">
        <f>28.19064</f>
        <v>28.190639999999998</v>
      </c>
      <c r="G383" s="256">
        <f>927.80149</f>
        <v>927.80148999999994</v>
      </c>
      <c r="H383" s="256">
        <f t="shared" si="18"/>
        <v>555.19851000000006</v>
      </c>
      <c r="I383" s="256">
        <f>982.58269</f>
        <v>982.58268999999996</v>
      </c>
      <c r="J383" s="130"/>
    </row>
    <row r="384" spans="1:10" ht="14.15" customHeight="1" x14ac:dyDescent="0.35">
      <c r="A384" s="217"/>
      <c r="B384" s="72"/>
      <c r="C384" s="261" t="s">
        <v>105</v>
      </c>
      <c r="D384" s="262">
        <v>4867</v>
      </c>
      <c r="E384" s="262">
        <v>4863</v>
      </c>
      <c r="F384" s="256">
        <f>19.7216</f>
        <v>19.721599999999999</v>
      </c>
      <c r="G384" s="256">
        <f>204.04966</f>
        <v>204.04965999999999</v>
      </c>
      <c r="H384" s="256">
        <f t="shared" si="18"/>
        <v>4658.9503400000003</v>
      </c>
      <c r="I384" s="256">
        <f>344.3763</f>
        <v>344.37630000000001</v>
      </c>
      <c r="J384" s="130"/>
    </row>
    <row r="385" spans="1:10" ht="14.15" customHeight="1" x14ac:dyDescent="0.35">
      <c r="A385" s="217"/>
      <c r="B385" s="72"/>
      <c r="C385" s="264" t="s">
        <v>59</v>
      </c>
      <c r="D385" s="265">
        <v>5500</v>
      </c>
      <c r="E385" s="265">
        <v>5500</v>
      </c>
      <c r="F385" s="267">
        <f>217.21318</f>
        <v>217.21317999999999</v>
      </c>
      <c r="G385" s="267">
        <f>1114.68616</f>
        <v>1114.68616</v>
      </c>
      <c r="H385" s="267">
        <f t="shared" si="18"/>
        <v>4385.3138399999998</v>
      </c>
      <c r="I385" s="267">
        <f>3699.3158</f>
        <v>3699.3157999999999</v>
      </c>
      <c r="J385" s="130"/>
    </row>
    <row r="386" spans="1:10" ht="14.15" customHeight="1" x14ac:dyDescent="0.3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50.243859999999998</v>
      </c>
      <c r="G386" s="268">
        <f>G388+G387</f>
        <v>1384.43463</v>
      </c>
      <c r="H386" s="268">
        <f>E386-G386</f>
        <v>6615.5653700000003</v>
      </c>
      <c r="I386" s="268">
        <f>I388+I387</f>
        <v>1696.6443300000001</v>
      </c>
      <c r="J386" s="130"/>
    </row>
    <row r="387" spans="1:10" ht="14.15" customHeight="1" x14ac:dyDescent="0.35">
      <c r="A387" s="217"/>
      <c r="B387" s="72"/>
      <c r="C387" s="259" t="s">
        <v>53</v>
      </c>
      <c r="D387" s="270"/>
      <c r="E387" s="255"/>
      <c r="F387" s="256">
        <f>0.29835</f>
        <v>0.29835</v>
      </c>
      <c r="G387" s="256">
        <f>518.61546</f>
        <v>518.61545999999998</v>
      </c>
      <c r="H387" s="256"/>
      <c r="I387" s="256">
        <f>746.70325</f>
        <v>746.70325000000003</v>
      </c>
      <c r="J387" s="130"/>
    </row>
    <row r="388" spans="1:10" ht="14.15" customHeight="1" x14ac:dyDescent="0.35">
      <c r="A388" s="217"/>
      <c r="B388" s="72"/>
      <c r="C388" s="272" t="s">
        <v>106</v>
      </c>
      <c r="D388" s="273"/>
      <c r="E388" s="276"/>
      <c r="F388" s="277">
        <f>49.94551</f>
        <v>49.945509999999999</v>
      </c>
      <c r="G388" s="277">
        <f>865.81917</f>
        <v>865.81916999999999</v>
      </c>
      <c r="H388" s="277"/>
      <c r="I388" s="277">
        <f>949.94108</f>
        <v>949.94108000000006</v>
      </c>
      <c r="J388" s="130"/>
    </row>
    <row r="389" spans="1:10" ht="14.15" customHeight="1" x14ac:dyDescent="0.3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0.0651</f>
        <v>6.5100000000000005E-2</v>
      </c>
      <c r="J389" s="130"/>
    </row>
    <row r="390" spans="1:10" ht="14.15" customHeight="1" x14ac:dyDescent="0.35">
      <c r="A390" s="217"/>
      <c r="B390" s="72"/>
      <c r="C390" s="278" t="s">
        <v>107</v>
      </c>
      <c r="D390" s="281"/>
      <c r="E390" s="282"/>
      <c r="F390" s="267">
        <f>0.0978</f>
        <v>9.7799999999999998E-2</v>
      </c>
      <c r="G390" s="267">
        <f>4.63808</f>
        <v>4.6380800000000004</v>
      </c>
      <c r="H390" s="267">
        <f>E390-G390</f>
        <v>-4.6380800000000004</v>
      </c>
      <c r="I390" s="267">
        <f>23.44164</f>
        <v>23.44164</v>
      </c>
      <c r="J390" s="130"/>
    </row>
    <row r="391" spans="1:10" ht="19.5" customHeight="1" x14ac:dyDescent="0.3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621.34753000000001</v>
      </c>
      <c r="G391" s="286">
        <f t="shared" si="19"/>
        <v>8433.4656500000019</v>
      </c>
      <c r="H391" s="286">
        <f>H380+H385+H386+H389+H390</f>
        <v>28048.534350000002</v>
      </c>
      <c r="I391" s="286">
        <f t="shared" si="19"/>
        <v>9421.8419300000005</v>
      </c>
      <c r="J391" s="130"/>
    </row>
    <row r="392" spans="1:10" ht="14.15" customHeight="1" x14ac:dyDescent="0.3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5" customHeight="1" x14ac:dyDescent="0.35">
      <c r="A393" s="217"/>
      <c r="B393" s="72"/>
      <c r="C393" s="101" t="s">
        <v>139</v>
      </c>
      <c r="D393" s="288"/>
      <c r="E393" s="288"/>
      <c r="F393" s="4"/>
      <c r="G393" s="4"/>
      <c r="H393" s="7"/>
      <c r="I393" s="5"/>
      <c r="J393" s="130"/>
    </row>
    <row r="394" spans="1:10" ht="14.15" customHeight="1" x14ac:dyDescent="0.35">
      <c r="A394" s="217"/>
      <c r="B394" s="72"/>
      <c r="C394" s="101" t="s">
        <v>138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3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7"/>
      <c r="C398" s="150" t="s">
        <v>116</v>
      </c>
      <c r="D398" s="156"/>
    </row>
    <row r="399" spans="1:10" ht="14.15" customHeight="1" x14ac:dyDescent="0.3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5" customHeight="1" x14ac:dyDescent="0.3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5" customHeight="1" x14ac:dyDescent="0.3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7"/>
      <c r="B407" s="72"/>
      <c r="C407" s="300" t="s">
        <v>121</v>
      </c>
      <c r="D407" s="300"/>
      <c r="E407" s="300"/>
      <c r="F407" s="300"/>
      <c r="G407" s="300"/>
      <c r="H407" s="300"/>
      <c r="I407" s="150"/>
      <c r="J407" s="130"/>
    </row>
    <row r="408" spans="1:10" ht="14.15" customHeight="1" x14ac:dyDescent="0.35">
      <c r="A408" s="217"/>
      <c r="B408" s="72"/>
      <c r="C408" s="300"/>
      <c r="D408" s="300"/>
      <c r="E408" s="300"/>
      <c r="F408" s="300"/>
      <c r="G408" s="300"/>
      <c r="H408" s="300"/>
      <c r="I408" s="150"/>
      <c r="J408" s="130"/>
    </row>
    <row r="409" spans="1:10" ht="14.15" customHeight="1" x14ac:dyDescent="0.3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3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5" customHeight="1" x14ac:dyDescent="0.3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5" customHeight="1" x14ac:dyDescent="0.3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5" customHeight="1" x14ac:dyDescent="0.3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5" customHeight="1" x14ac:dyDescent="0.3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5" customHeight="1" x14ac:dyDescent="0.3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5" customHeight="1" x14ac:dyDescent="0.3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5" customHeight="1" x14ac:dyDescent="0.35">
      <c r="A419" s="217"/>
      <c r="B419" s="72"/>
      <c r="C419" s="264" t="s">
        <v>115</v>
      </c>
      <c r="D419" s="10">
        <v>1235</v>
      </c>
      <c r="E419" s="36">
        <f>SUM(E420:E421)</f>
        <v>82.448399999999992</v>
      </c>
      <c r="F419" s="36">
        <f>SUM(F420:F421)</f>
        <v>807.41687999999999</v>
      </c>
      <c r="G419" s="85">
        <f>D419-F419</f>
        <v>427.58312000000001</v>
      </c>
      <c r="H419" s="36">
        <f>SUM(H420:H421)</f>
        <v>1153.89237</v>
      </c>
      <c r="I419" s="150"/>
      <c r="J419" s="130"/>
    </row>
    <row r="420" spans="1:10" ht="14.15" customHeight="1" x14ac:dyDescent="0.35">
      <c r="A420" s="217"/>
      <c r="B420" s="72"/>
      <c r="C420" s="29" t="s">
        <v>8</v>
      </c>
      <c r="D420" s="42"/>
      <c r="E420" s="30">
        <f>66.9275</f>
        <v>66.927499999999995</v>
      </c>
      <c r="F420" s="30">
        <f>572.37214</f>
        <v>572.37213999999994</v>
      </c>
      <c r="G420" s="97"/>
      <c r="H420" s="30">
        <f>824.23468</f>
        <v>824.23468000000003</v>
      </c>
      <c r="I420" s="150"/>
      <c r="J420" s="130"/>
    </row>
    <row r="421" spans="1:10" ht="14.15" customHeight="1" x14ac:dyDescent="0.35">
      <c r="A421" s="217"/>
      <c r="B421" s="72"/>
      <c r="C421" s="29" t="s">
        <v>11</v>
      </c>
      <c r="D421" s="220"/>
      <c r="E421" s="30">
        <f>15.5209</f>
        <v>15.520899999999999</v>
      </c>
      <c r="F421" s="30">
        <f>235.04474</f>
        <v>235.04473999999999</v>
      </c>
      <c r="G421" s="108"/>
      <c r="H421" s="30">
        <f>329.65769</f>
        <v>329.65769</v>
      </c>
      <c r="I421" s="150"/>
      <c r="J421" s="130"/>
    </row>
    <row r="422" spans="1:10" ht="14.15" customHeight="1" x14ac:dyDescent="0.3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7"/>
      <c r="B423" s="72"/>
      <c r="C423" s="284" t="s">
        <v>87</v>
      </c>
      <c r="D423" s="39">
        <f>D413+D416+D419</f>
        <v>3530</v>
      </c>
      <c r="E423" s="40">
        <f>E413+E416+E419+E422</f>
        <v>82.448399999999992</v>
      </c>
      <c r="F423" s="40">
        <f>F413+F416+F419+F422</f>
        <v>3017.8170899999996</v>
      </c>
      <c r="G423" s="41">
        <f>D423-F423</f>
        <v>512.18291000000045</v>
      </c>
      <c r="H423" s="40">
        <f>H413+H416+H419+H422</f>
        <v>4885.9360300000008</v>
      </c>
      <c r="I423" s="27"/>
      <c r="J423" s="130"/>
    </row>
    <row r="424" spans="1:10" ht="42" customHeight="1" x14ac:dyDescent="0.35">
      <c r="A424" s="217"/>
      <c r="B424" s="72"/>
      <c r="C424" s="301" t="s">
        <v>122</v>
      </c>
      <c r="D424" s="301"/>
      <c r="E424" s="301"/>
      <c r="F424" s="301"/>
      <c r="G424" s="301"/>
      <c r="H424" s="301"/>
      <c r="I424" s="301"/>
      <c r="J424" s="302"/>
    </row>
    <row r="425" spans="1:10" ht="14.15" customHeight="1" x14ac:dyDescent="0.3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4">
    <mergeCell ref="C407:H408"/>
    <mergeCell ref="C424:J424"/>
    <mergeCell ref="C52:H52"/>
    <mergeCell ref="D55:D59"/>
    <mergeCell ref="G55:G59"/>
    <mergeCell ref="C81:D81"/>
    <mergeCell ref="E81:F81"/>
    <mergeCell ref="G81:H81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19&amp;R13.05.2024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2024-05-13T08:57:32Z</dcterms:modified>
</cp:coreProperties>
</file>