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evgul\Settings\Desktop\"/>
    </mc:Choice>
  </mc:AlternateContent>
  <xr:revisionPtr revIDLastSave="0" documentId="8_{A59A1947-AFDF-42FA-A524-4A700403CE93}" xr6:coauthVersionLast="47" xr6:coauthVersionMax="47" xr10:uidLastSave="{00000000-0000-0000-0000-000000000000}"/>
  <bookViews>
    <workbookView xWindow="3630" yWindow="1230" windowWidth="28755" windowHeight="1920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G134" i="1"/>
  <c r="H422" i="1"/>
  <c r="F422" i="1"/>
  <c r="G422" i="1" s="1"/>
  <c r="E422" i="1"/>
  <c r="H421" i="1"/>
  <c r="H419" i="1" s="1"/>
  <c r="F421" i="1"/>
  <c r="E421" i="1"/>
  <c r="H420" i="1"/>
  <c r="F420" i="1"/>
  <c r="E420" i="1"/>
  <c r="F419" i="1"/>
  <c r="G419" i="1" s="1"/>
  <c r="E419" i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H414" i="1"/>
  <c r="F414" i="1"/>
  <c r="F413" i="1" s="1"/>
  <c r="E414" i="1"/>
  <c r="E413" i="1" s="1"/>
  <c r="E423" i="1" s="1"/>
  <c r="H413" i="1"/>
  <c r="H423" i="1" s="1"/>
  <c r="I390" i="1"/>
  <c r="G390" i="1"/>
  <c r="H390" i="1" s="1"/>
  <c r="F390" i="1"/>
  <c r="I389" i="1"/>
  <c r="H389" i="1"/>
  <c r="G389" i="1"/>
  <c r="F389" i="1"/>
  <c r="I388" i="1"/>
  <c r="G388" i="1"/>
  <c r="G386" i="1" s="1"/>
  <c r="F388" i="1"/>
  <c r="I387" i="1"/>
  <c r="I386" i="1" s="1"/>
  <c r="I391" i="1" s="1"/>
  <c r="G387" i="1"/>
  <c r="F387" i="1"/>
  <c r="F386" i="1" s="1"/>
  <c r="I385" i="1"/>
  <c r="H385" i="1"/>
  <c r="G385" i="1"/>
  <c r="F385" i="1"/>
  <c r="I384" i="1"/>
  <c r="H384" i="1"/>
  <c r="G384" i="1"/>
  <c r="F384" i="1"/>
  <c r="I383" i="1"/>
  <c r="H383" i="1"/>
  <c r="H380" i="1" s="1"/>
  <c r="G383" i="1"/>
  <c r="F383" i="1"/>
  <c r="F380" i="1" s="1"/>
  <c r="F391" i="1" s="1"/>
  <c r="I382" i="1"/>
  <c r="H382" i="1"/>
  <c r="G382" i="1"/>
  <c r="F382" i="1"/>
  <c r="I381" i="1"/>
  <c r="H381" i="1"/>
  <c r="G381" i="1"/>
  <c r="F381" i="1"/>
  <c r="I380" i="1"/>
  <c r="G380" i="1"/>
  <c r="D380" i="1"/>
  <c r="D391" i="1" s="1"/>
  <c r="H372" i="1"/>
  <c r="F372" i="1"/>
  <c r="H354" i="1"/>
  <c r="D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G350" i="1"/>
  <c r="F350" i="1"/>
  <c r="F354" i="1" s="1"/>
  <c r="G354" i="1" s="1"/>
  <c r="E350" i="1"/>
  <c r="E354" i="1" s="1"/>
  <c r="D343" i="1"/>
  <c r="D299" i="1"/>
  <c r="H298" i="1"/>
  <c r="F298" i="1"/>
  <c r="G298" i="1" s="1"/>
  <c r="E298" i="1"/>
  <c r="H297" i="1"/>
  <c r="F297" i="1"/>
  <c r="E297" i="1"/>
  <c r="H296" i="1"/>
  <c r="H295" i="1" s="1"/>
  <c r="H299" i="1" s="1"/>
  <c r="F296" i="1"/>
  <c r="F295" i="1" s="1"/>
  <c r="E296" i="1"/>
  <c r="E295" i="1"/>
  <c r="E299" i="1" s="1"/>
  <c r="D253" i="1"/>
  <c r="H252" i="1"/>
  <c r="F252" i="1"/>
  <c r="G252" i="1" s="1"/>
  <c r="E252" i="1"/>
  <c r="H251" i="1"/>
  <c r="F251" i="1"/>
  <c r="E251" i="1"/>
  <c r="H250" i="1"/>
  <c r="F250" i="1"/>
  <c r="F249" i="1" s="1"/>
  <c r="E250" i="1"/>
  <c r="H249" i="1"/>
  <c r="H253" i="1" s="1"/>
  <c r="E249" i="1"/>
  <c r="E253" i="1" s="1"/>
  <c r="F207" i="1"/>
  <c r="D207" i="1"/>
  <c r="G207" i="1" s="1"/>
  <c r="H206" i="1"/>
  <c r="F206" i="1"/>
  <c r="G206" i="1" s="1"/>
  <c r="E206" i="1"/>
  <c r="H205" i="1"/>
  <c r="G205" i="1"/>
  <c r="F205" i="1"/>
  <c r="E205" i="1"/>
  <c r="H204" i="1"/>
  <c r="H207" i="1" s="1"/>
  <c r="F204" i="1"/>
  <c r="G204" i="1" s="1"/>
  <c r="E204" i="1"/>
  <c r="E207" i="1" s="1"/>
  <c r="E184" i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G177" i="1"/>
  <c r="F177" i="1"/>
  <c r="E177" i="1"/>
  <c r="H176" i="1"/>
  <c r="F176" i="1"/>
  <c r="E176" i="1"/>
  <c r="H175" i="1"/>
  <c r="F175" i="1"/>
  <c r="F184" i="1" s="1"/>
  <c r="G184" i="1" s="1"/>
  <c r="E175" i="1"/>
  <c r="D167" i="1"/>
  <c r="D169" i="1" s="1"/>
  <c r="E150" i="1"/>
  <c r="I148" i="1"/>
  <c r="H148" i="1"/>
  <c r="G148" i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F139" i="1" s="1"/>
  <c r="I140" i="1"/>
  <c r="H140" i="1"/>
  <c r="H139" i="1" s="1"/>
  <c r="G140" i="1"/>
  <c r="G139" i="1" s="1"/>
  <c r="F140" i="1"/>
  <c r="I139" i="1"/>
  <c r="E139" i="1"/>
  <c r="D139" i="1"/>
  <c r="I138" i="1"/>
  <c r="H138" i="1"/>
  <c r="F138" i="1"/>
  <c r="I137" i="1"/>
  <c r="H137" i="1"/>
  <c r="F137" i="1"/>
  <c r="I136" i="1"/>
  <c r="F136" i="1"/>
  <c r="I135" i="1"/>
  <c r="H135" i="1"/>
  <c r="G135" i="1"/>
  <c r="F135" i="1"/>
  <c r="F134" i="1" s="1"/>
  <c r="F133" i="1" s="1"/>
  <c r="I134" i="1"/>
  <c r="I133" i="1" s="1"/>
  <c r="E134" i="1"/>
  <c r="D134" i="1"/>
  <c r="D133" i="1" s="1"/>
  <c r="E133" i="1"/>
  <c r="I132" i="1"/>
  <c r="H132" i="1"/>
  <c r="F132" i="1"/>
  <c r="I131" i="1"/>
  <c r="G131" i="1"/>
  <c r="H131" i="1" s="1"/>
  <c r="F131" i="1"/>
  <c r="I130" i="1"/>
  <c r="H130" i="1"/>
  <c r="G130" i="1"/>
  <c r="F130" i="1"/>
  <c r="F128" i="1" s="1"/>
  <c r="I129" i="1"/>
  <c r="I128" i="1" s="1"/>
  <c r="I150" i="1" s="1"/>
  <c r="G129" i="1"/>
  <c r="H129" i="1" s="1"/>
  <c r="H128" i="1" s="1"/>
  <c r="F129" i="1"/>
  <c r="E128" i="1"/>
  <c r="D128" i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G96" i="1" s="1"/>
  <c r="G95" i="1" s="1"/>
  <c r="F97" i="1"/>
  <c r="F96" i="1" s="1"/>
  <c r="F95" i="1" s="1"/>
  <c r="E96" i="1"/>
  <c r="E95" i="1" s="1"/>
  <c r="E107" i="1" s="1"/>
  <c r="D96" i="1"/>
  <c r="D95" i="1"/>
  <c r="I94" i="1"/>
  <c r="I92" i="1" s="1"/>
  <c r="G94" i="1"/>
  <c r="H94" i="1" s="1"/>
  <c r="H92" i="1" s="1"/>
  <c r="F94" i="1"/>
  <c r="I93" i="1"/>
  <c r="H93" i="1"/>
  <c r="G93" i="1"/>
  <c r="F93" i="1"/>
  <c r="G92" i="1"/>
  <c r="F92" i="1"/>
  <c r="F107" i="1" s="1"/>
  <c r="E92" i="1"/>
  <c r="D92" i="1"/>
  <c r="D107" i="1" s="1"/>
  <c r="C89" i="1"/>
  <c r="H85" i="1"/>
  <c r="F85" i="1"/>
  <c r="D85" i="1"/>
  <c r="G61" i="1"/>
  <c r="G60" i="1"/>
  <c r="H55" i="1"/>
  <c r="G55" i="1"/>
  <c r="F55" i="1"/>
  <c r="E55" i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I34" i="1" s="1"/>
  <c r="I26" i="1" s="1"/>
  <c r="G35" i="1"/>
  <c r="F35" i="1"/>
  <c r="F34" i="1" s="1"/>
  <c r="E35" i="1"/>
  <c r="G34" i="1"/>
  <c r="D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F27" i="1" s="1"/>
  <c r="I28" i="1"/>
  <c r="H28" i="1"/>
  <c r="H27" i="1" s="1"/>
  <c r="G28" i="1"/>
  <c r="G27" i="1" s="1"/>
  <c r="F28" i="1"/>
  <c r="I27" i="1"/>
  <c r="E27" i="1"/>
  <c r="D27" i="1"/>
  <c r="D26" i="1" s="1"/>
  <c r="E26" i="1"/>
  <c r="I25" i="1"/>
  <c r="H25" i="1"/>
  <c r="H23" i="1" s="1"/>
  <c r="G25" i="1"/>
  <c r="F25" i="1"/>
  <c r="I24" i="1"/>
  <c r="I23" i="1" s="1"/>
  <c r="H24" i="1"/>
  <c r="G24" i="1"/>
  <c r="F24" i="1"/>
  <c r="F23" i="1" s="1"/>
  <c r="G23" i="1"/>
  <c r="E23" i="1"/>
  <c r="E44" i="1" s="1"/>
  <c r="D23" i="1"/>
  <c r="D44" i="1" s="1"/>
  <c r="H16" i="1"/>
  <c r="F16" i="1"/>
  <c r="D16" i="1"/>
  <c r="H136" i="1" l="1"/>
  <c r="H134" i="1" s="1"/>
  <c r="H133" i="1" s="1"/>
  <c r="H150" i="1" s="1"/>
  <c r="G133" i="1"/>
  <c r="I44" i="1"/>
  <c r="H35" i="1"/>
  <c r="F423" i="1"/>
  <c r="G413" i="1"/>
  <c r="G249" i="1"/>
  <c r="F253" i="1"/>
  <c r="G253" i="1" s="1"/>
  <c r="F150" i="1"/>
  <c r="G295" i="1"/>
  <c r="F299" i="1"/>
  <c r="G299" i="1" s="1"/>
  <c r="G26" i="1"/>
  <c r="G44" i="1" s="1"/>
  <c r="F26" i="1"/>
  <c r="F44" i="1" s="1"/>
  <c r="I107" i="1"/>
  <c r="D150" i="1"/>
  <c r="H386" i="1"/>
  <c r="G391" i="1"/>
  <c r="G107" i="1"/>
  <c r="H184" i="1"/>
  <c r="H391" i="1"/>
  <c r="H34" i="1"/>
  <c r="H26" i="1" s="1"/>
  <c r="H44" i="1" s="1"/>
  <c r="H97" i="1"/>
  <c r="H96" i="1" s="1"/>
  <c r="H95" i="1" s="1"/>
  <c r="H107" i="1" s="1"/>
  <c r="G128" i="1"/>
  <c r="G175" i="1"/>
  <c r="G150" i="1" l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<sst xmlns="http://schemas.openxmlformats.org/spreadsheetml/2006/main" count="359" uniqueCount="152">
  <si>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</si>
  <si>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</si>
  <si>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</si>
  <si>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</si>
  <si>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</si>
  <si>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</si>
  <si>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</si>
  <si>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</si>
  <si>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</si>
  <si>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</si>
  <si>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</si>
  <si>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</si>
  <si>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</si>
  <si>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</si>
  <si>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</si>
  <si>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</si>
  <si>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</si>
  <si>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</si>
  <si>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</si>
  <si>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</si>
  <si>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</si>
  <si>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</si>
  <si>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</si>
  <si>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</si>
  <si>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</si>
  <si>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</si>
  <si>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</si>
  <si>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</si>
  <si>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</si>
  <si>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</si>
  <si>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</si>
  <si>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</si>
  <si>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</si>
  <si>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</si>
  <si>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</si>
  <si>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</si>
  <si>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</si>
  <si>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</si>
  <si>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</si>
  <si>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</si>
  <si>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</si>
  <si>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</si>
  <si>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</si>
  <si>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</si>
  <si>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</si>
  <si>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</si>
  <si>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</si>
  <si>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</si>
  <si>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</si>
  <si>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</si>
  <si>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</si>
  <si>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</si>
  <si>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</si>
  <si>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</si>
  <si>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</si>
  <si>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</si>
  <si>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</si>
  <si>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</si>
  <si>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</si>
  <si>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</si>
  <si>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</si>
  <si>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</si>
  <si>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</si>
  <si>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</si>
  <si>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</si>
  <si>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</si>
  <si>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</si>
  <si>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</si>
  <si>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</si>
  <si>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</si>
  <si>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</si>
  <si>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</si>
  <si>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</si>
  <si>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</si>
  <si>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</si>
  <si>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</si>
  <si>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</si>
  <si>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</si>
  <si>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</si>
  <si>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</si>
  <si>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</si>
  <si>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</si>
  <si>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</si>
  <si>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</si>
  <si>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</si>
  <si>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</si>
  <si>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</si>
  <si>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</si>
  <si>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</si>
  <si>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</si>
  <si>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</si>
  <si>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</si>
  <si>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</si>
  <si>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</si>
  <si>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</si>
  <si>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</si>
  <si>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</si>
  <si>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</si>
  <si>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</si>
  <si>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</si>
  <si>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</si>
  <si>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</si>
  <si>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</si>
  <si>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</si>
  <si>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</si>
  <si>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</si>
  <si>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</si>
  <si>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</si>
  <si>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</si>
  <si>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</si>
  <si>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</si>
  <si>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</si>
  <si>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</si>
  <si>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</si>
  <si>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</si>
  <si>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</si>
  <si>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</si>
  <si>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</si>
  <si>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</si>
  <si>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</si>
  <si>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</si>
  <si>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</si>
  <si>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</si>
  <si>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</si>
  <si>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</si>
  <si>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</si>
  <si>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</si>
  <si>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</si>
  <si>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</si>
  <si>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</si>
  <si>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</si>
  <si>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</si>
  <si>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</si>
  <si>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</si>
  <si>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</si>
  <si>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</si>
  <si>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</si>
  <si>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</si>
  <si>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</si>
  <si>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</si>
  <si>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</si>
  <si>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</si>
  <si>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</si>
  <si>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</si>
  <si>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49 tonn, men det legges til grunn at hele avsetningen tas</t>
  </si>
  <si>
    <t>3 Registrert rekreasjonsfiske utgjør 650 tonn, men det legges til grunn at hele avsetningen tas</t>
  </si>
  <si>
    <t>FANGST UKE 26</t>
  </si>
  <si>
    <t>FANGST T.O.M UKE 26</t>
  </si>
  <si>
    <t>RESTKVOTER UKE 26</t>
  </si>
  <si>
    <t>FANGST T.O.M UKE 26 2023</t>
  </si>
  <si>
    <r>
      <t>3</t>
    </r>
    <r>
      <rPr>
        <sz val="9"/>
        <color indexed="8"/>
        <rFont val="Calibri"/>
        <family val="2"/>
      </rPr>
      <t xml:space="preserve"> Det er fisket 2344 tonn sei med konvensjonelle redskap som belastes notkvoten.</t>
    </r>
  </si>
  <si>
    <t>4 Registrert rekreasjonsfiske utgjør 35 tonn, men det legges til grunn at hele avsetningen 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</si>
</sst>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showWhiteSpace="0" view="pageLayout" zoomScale="85" zoomScaleNormal="85" zoomScaleSheetLayoutView="100" zoomScalePageLayoutView="85" workbookViewId="0">
      <selection activeCell="C155" sqref="C155"/>
    </sheetView>
  </sheetViews>
  <sheetFormatPr baseColWidth="10"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2" t="s">
        <v>122</v>
      </c>
      <c r="C2" s="293"/>
      <c r="D2" s="293"/>
      <c r="E2" s="293"/>
      <c r="F2" s="293"/>
      <c r="G2" s="293"/>
      <c r="H2" s="293"/>
      <c r="I2" s="293"/>
      <c r="J2" s="29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291" t="s">
        <v>141</v>
      </c>
      <c r="D17" s="291"/>
      <c r="E17" s="291"/>
      <c r="F17" s="291"/>
      <c r="G17" s="291"/>
      <c r="H17" s="29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410.3295</v>
      </c>
      <c r="G23" s="28">
        <f t="shared" si="0"/>
        <v>37103.929889999999</v>
      </c>
      <c r="H23" s="11">
        <f t="shared" si="0"/>
        <v>23708.070110000001</v>
      </c>
      <c r="I23" s="11">
        <f t="shared" si="0"/>
        <v>48012.933219999999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410.3295</f>
        <v>410.3295</v>
      </c>
      <c r="G24" s="23">
        <f>36581.9661</f>
        <v>36581.966099999998</v>
      </c>
      <c r="H24" s="23">
        <f>E24-G24</f>
        <v>23460.033900000002</v>
      </c>
      <c r="I24" s="23">
        <f>47689.62148</f>
        <v>47689.621480000002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521.96379</f>
        <v>521.96379000000002</v>
      </c>
      <c r="H25" s="23">
        <f>E25-G25</f>
        <v>248.03620999999998</v>
      </c>
      <c r="I25" s="23">
        <f>323.31174</f>
        <v>323.31173999999999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324.00200999999998</v>
      </c>
      <c r="G26" s="11">
        <f t="shared" si="1"/>
        <v>116436.82479999999</v>
      </c>
      <c r="H26" s="11">
        <f t="shared" si="1"/>
        <v>28437.175199999998</v>
      </c>
      <c r="I26" s="11">
        <f t="shared" si="1"/>
        <v>164814.28795999999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245.4331</v>
      </c>
      <c r="G27" s="132">
        <f t="shared" ref="G27:I27" si="2">G28+G29+G30+G31+G32</f>
        <v>95220.25628999999</v>
      </c>
      <c r="H27" s="132">
        <f t="shared" si="2"/>
        <v>17757.743709999999</v>
      </c>
      <c r="I27" s="132">
        <f t="shared" si="2"/>
        <v>131093.12716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105.21078</f>
        <v>105.21078</v>
      </c>
      <c r="G28" s="127">
        <f>25456.21758 - F56</f>
        <v>25456.21758</v>
      </c>
      <c r="H28" s="127">
        <f t="shared" ref="H28:H40" si="3">E28-G28</f>
        <v>3173.7824199999995</v>
      </c>
      <c r="I28" s="127">
        <f>36040.63386 - H56</f>
        <v>36040.633860000002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43.01345</f>
        <v>43.013449999999999</v>
      </c>
      <c r="G29" s="127">
        <f>26764.20488 - F57</f>
        <v>26764.204880000001</v>
      </c>
      <c r="H29" s="127">
        <f t="shared" si="3"/>
        <v>2900.7951199999989</v>
      </c>
      <c r="I29" s="127">
        <f>36936.48327 - H57</f>
        <v>36936.483269999997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48.46579</f>
        <v>48.465789999999998</v>
      </c>
      <c r="G30" s="127">
        <f>24847.91793 - F58</f>
        <v>24847.91793</v>
      </c>
      <c r="H30" s="127">
        <f t="shared" si="3"/>
        <v>2396.0820700000004</v>
      </c>
      <c r="I30" s="127">
        <f>34474.73503 - H58</f>
        <v>34474.735030000003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48.74308</f>
        <v>48.743079999999999</v>
      </c>
      <c r="G31" s="127">
        <f>18151.9159 - F59</f>
        <v>18151.9159</v>
      </c>
      <c r="H31" s="127">
        <f t="shared" si="3"/>
        <v>1187.0841</v>
      </c>
      <c r="I31" s="127">
        <f>23641.275 - H59</f>
        <v>23641.275000000001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0</f>
        <v>0</v>
      </c>
      <c r="G33" s="132">
        <f>9817.78818</f>
        <v>9817.7881799999996</v>
      </c>
      <c r="H33" s="132">
        <f t="shared" si="3"/>
        <v>7041.2118200000004</v>
      </c>
      <c r="I33" s="132">
        <f>14002.0607</f>
        <v>14002.0607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78.568910000000002</v>
      </c>
      <c r="G34" s="132">
        <f>G35+G36</f>
        <v>11398.78033</v>
      </c>
      <c r="H34" s="132">
        <f t="shared" si="3"/>
        <v>3638.2196700000004</v>
      </c>
      <c r="I34" s="132">
        <f>I35+I36</f>
        <v>19719.1001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78.56891</f>
        <v>78.568910000000002</v>
      </c>
      <c r="G35" s="132">
        <f>13990.78033 - F60 - F61</f>
        <v>11398.78033</v>
      </c>
      <c r="H35" s="127">
        <f t="shared" si="3"/>
        <v>2678.2196700000004</v>
      </c>
      <c r="I35" s="127">
        <f>23860.1001 - H60 - H61</f>
        <v>19719.1001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3.037</f>
        <v>3.0369999999999999</v>
      </c>
      <c r="G38" s="98">
        <f>463.82117</f>
        <v>463.82117</v>
      </c>
      <c r="H38" s="98">
        <f t="shared" si="3"/>
        <v>391.17883</v>
      </c>
      <c r="I38" s="98">
        <f>486.26274</f>
        <v>486.26274000000001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20</v>
      </c>
      <c r="G39" s="98">
        <f>F61</f>
        <v>2592</v>
      </c>
      <c r="H39" s="98">
        <f t="shared" si="3"/>
        <v>408</v>
      </c>
      <c r="I39" s="98">
        <f>H61</f>
        <v>4141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23.10292</f>
        <v>23.102920000000001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1.1</f>
        <v>1.1000000000000001</v>
      </c>
      <c r="G41" s="98">
        <f>318.79341</f>
        <v>318.79340999999999</v>
      </c>
      <c r="H41" s="98">
        <f>E41-G41</f>
        <v>81.206590000000006</v>
      </c>
      <c r="I41" s="98">
        <f>344.19965</f>
        <v>344.19965000000002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0.08</f>
        <v>0.08</v>
      </c>
      <c r="G43" s="139">
        <f>85.51626</f>
        <v>85.516260000000003</v>
      </c>
      <c r="H43" s="139">
        <f t="shared" ref="H43" si="4">E43-G43</f>
        <v>-85.516260000000003</v>
      </c>
      <c r="I43" s="139">
        <f>78.21367</f>
        <v>78.213669999999993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781.65143000000012</v>
      </c>
      <c r="G44" s="76">
        <f t="shared" si="5"/>
        <v>164349.25073</v>
      </c>
      <c r="H44" s="76">
        <f t="shared" si="5"/>
        <v>54691.74927</v>
      </c>
      <c r="I44" s="76">
        <f t="shared" si="5"/>
        <v>225623.68883999999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145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146</v>
      </c>
      <c r="F54" s="68" t="s">
        <v>147</v>
      </c>
      <c r="G54" s="68" t="s">
        <v>148</v>
      </c>
      <c r="H54" s="68" t="s">
        <v>149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304">
        <v>7872</v>
      </c>
      <c r="E55" s="11">
        <f>E59+E58+E57+E56</f>
        <v>0</v>
      </c>
      <c r="F55" s="11">
        <f>F59+F58+F57+F56</f>
        <v>0</v>
      </c>
      <c r="G55" s="304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305"/>
      <c r="E56" s="127"/>
      <c r="F56" s="127"/>
      <c r="G56" s="305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305"/>
      <c r="E57" s="127"/>
      <c r="F57" s="127"/>
      <c r="G57" s="305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305"/>
      <c r="E58" s="127"/>
      <c r="F58" s="127"/>
      <c r="G58" s="305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306"/>
      <c r="E59" s="192"/>
      <c r="F59" s="192"/>
      <c r="G59" s="306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/>
      <c r="F60" s="95"/>
      <c r="G60" s="95">
        <f>D60-F60</f>
        <v>960</v>
      </c>
      <c r="H60" s="95"/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20</v>
      </c>
      <c r="F61" s="139">
        <v>2592</v>
      </c>
      <c r="G61" s="139">
        <f>D61-F61</f>
        <v>408</v>
      </c>
      <c r="H61" s="139">
        <v>4141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204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7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137.19691</v>
      </c>
      <c r="G92" s="11">
        <f t="shared" si="6"/>
        <v>23198.121229999997</v>
      </c>
      <c r="H92" s="11">
        <f t="shared" si="6"/>
        <v>2762.8787700000012</v>
      </c>
      <c r="I92" s="11">
        <f t="shared" si="6"/>
        <v>38793.867270000002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137.19691</f>
        <v>137.19691</v>
      </c>
      <c r="G93" s="23">
        <f>22419.88398</f>
        <v>22419.883979999999</v>
      </c>
      <c r="H93" s="23">
        <f>E93-G93</f>
        <v>2716.1160200000013</v>
      </c>
      <c r="I93" s="23">
        <f>38294.14693</f>
        <v>38294.146930000003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778.23725</f>
        <v>778.23725000000002</v>
      </c>
      <c r="H94" s="50">
        <f>E94-G94</f>
        <v>46.762749999999983</v>
      </c>
      <c r="I94" s="50">
        <f>499.72034</f>
        <v>499.72034000000002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386.29658000000001</v>
      </c>
      <c r="G95" s="11">
        <f t="shared" si="7"/>
        <v>30806.637429999999</v>
      </c>
      <c r="H95" s="11">
        <f t="shared" si="7"/>
        <v>18187.362569999998</v>
      </c>
      <c r="I95" s="11">
        <f t="shared" si="7"/>
        <v>21875.243490000001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356.68912</v>
      </c>
      <c r="G96" s="132">
        <f t="shared" si="8"/>
        <v>24090.690329999998</v>
      </c>
      <c r="H96" s="132">
        <f t="shared" si="8"/>
        <v>13403.309669999999</v>
      </c>
      <c r="I96" s="132">
        <f t="shared" si="8"/>
        <v>15586.809450000001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50.38492</f>
        <v>50.384920000000001</v>
      </c>
      <c r="G97" s="127">
        <f>4093.45608</f>
        <v>4093.4560799999999</v>
      </c>
      <c r="H97" s="127">
        <f t="shared" ref="H97:H104" si="9">E97-G97</f>
        <v>5921.5439200000001</v>
      </c>
      <c r="I97" s="127">
        <f>2394.80014</f>
        <v>2394.8001399999998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135.93363</f>
        <v>135.93362999999999</v>
      </c>
      <c r="G98" s="127">
        <f>8286.03029</f>
        <v>8286.0302900000006</v>
      </c>
      <c r="H98" s="127">
        <f t="shared" si="9"/>
        <v>2327.9697099999994</v>
      </c>
      <c r="I98" s="127">
        <f>4938.8756</f>
        <v>4938.8756000000003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48.73713</f>
        <v>48.737130000000001</v>
      </c>
      <c r="G99" s="127">
        <f>7362.94975</f>
        <v>7362.9497499999998</v>
      </c>
      <c r="H99" s="127">
        <f t="shared" si="9"/>
        <v>2749.0502500000002</v>
      </c>
      <c r="I99" s="127">
        <f>4298.45722</f>
        <v>4298.4572200000002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121.63344</f>
        <v>121.63343999999999</v>
      </c>
      <c r="G100" s="127">
        <f>4348.25421</f>
        <v>4348.2542100000001</v>
      </c>
      <c r="H100" s="127">
        <f t="shared" si="9"/>
        <v>2404.7457899999999</v>
      </c>
      <c r="I100" s="127">
        <f>3954.67649</f>
        <v>3954.6764899999998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0</f>
        <v>0</v>
      </c>
      <c r="G101" s="132">
        <f>4930.00243</f>
        <v>4930.0024299999995</v>
      </c>
      <c r="H101" s="132">
        <f t="shared" si="9"/>
        <v>2665.9975700000005</v>
      </c>
      <c r="I101" s="132">
        <f>5073.77539</f>
        <v>5073.7753899999998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29.60746</f>
        <v>29.60746</v>
      </c>
      <c r="G102" s="75">
        <f>1785.94467</f>
        <v>1785.9446700000001</v>
      </c>
      <c r="H102" s="75">
        <f t="shared" si="9"/>
        <v>2118.0553300000001</v>
      </c>
      <c r="I102" s="75">
        <f>1214.65865</f>
        <v>1214.6586500000001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1.52953</f>
        <v>1.5295300000000001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0.072</f>
        <v>7.1999999999999995E-2</v>
      </c>
      <c r="G105" s="98">
        <f>19.58906</f>
        <v>19.58906</v>
      </c>
      <c r="H105" s="139">
        <f>E105-G105</f>
        <v>30.41094</v>
      </c>
      <c r="I105" s="98">
        <f>6.9996</f>
        <v>6.9996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1.044</f>
        <v>1.044</v>
      </c>
      <c r="G106" s="139">
        <f>17.11632</f>
        <v>17.116320000000002</v>
      </c>
      <c r="H106" s="139">
        <f t="shared" ref="H106" si="10">E106-G106</f>
        <v>-17.116320000000002</v>
      </c>
      <c r="I106" s="139">
        <f>87.90276</f>
        <v>87.902760000000001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526.13902000000007</v>
      </c>
      <c r="G107" s="76">
        <f t="shared" si="12"/>
        <v>54377.566799999993</v>
      </c>
      <c r="H107" s="76">
        <f t="shared" si="12"/>
        <v>21246.433199999999</v>
      </c>
      <c r="I107" s="76">
        <f t="shared" si="12"/>
        <v>61075.261790000004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470.92995000000002</v>
      </c>
      <c r="G128" s="11">
        <f t="shared" si="13"/>
        <v>39231.868329999998</v>
      </c>
      <c r="H128" s="11">
        <f t="shared" si="13"/>
        <v>33075.131670000002</v>
      </c>
      <c r="I128" s="11">
        <f t="shared" si="13"/>
        <v>39122.169740000005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470.92995</f>
        <v>470.92995000000002</v>
      </c>
      <c r="G129" s="23">
        <f>34804.47617</f>
        <v>34804.476170000002</v>
      </c>
      <c r="H129" s="23">
        <f>E129-G129</f>
        <v>22757.523829999998</v>
      </c>
      <c r="I129" s="23">
        <f>34459.06351</f>
        <v>34459.06351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4361.94201</f>
        <v>4361.9420099999998</v>
      </c>
      <c r="H130" s="23">
        <f>E130-G130</f>
        <v>9883.0579900000012</v>
      </c>
      <c r="I130" s="23">
        <f>4547.79998</f>
        <v>4547.7999799999998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126.51752</f>
        <v>126.51752</v>
      </c>
      <c r="G132" s="95">
        <f>8757.94108+2433.15</f>
        <v>11191.09108</v>
      </c>
      <c r="H132" s="95">
        <f>E132-G132</f>
        <v>41304.908920000002</v>
      </c>
      <c r="I132" s="95">
        <f>24892.19409</f>
        <v>24892.194090000001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556.64719000000002</v>
      </c>
      <c r="G133" s="94">
        <f t="shared" ref="G133" si="14">G134+G139+G142</f>
        <v>46872.421015</v>
      </c>
      <c r="H133" s="94">
        <f>H134+H139+H142</f>
        <v>33292.578985</v>
      </c>
      <c r="I133" s="94">
        <f>I134+I139+I142</f>
        <v>47748.31238000001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470.88938999999999</v>
      </c>
      <c r="G134" s="125">
        <f>G135+G136+G138+G137</f>
        <v>34577.151454999999</v>
      </c>
      <c r="H134" s="125">
        <f>H135+H136+H137+H138</f>
        <v>24501.848544999997</v>
      </c>
      <c r="I134" s="125">
        <f>I135+I136+I137+I138</f>
        <v>37414.583750000005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77.88859</f>
        <v>77.888589999999994</v>
      </c>
      <c r="G135" s="127">
        <f>6726.33062</f>
        <v>6726.3306199999997</v>
      </c>
      <c r="H135" s="127">
        <f>E135-G135</f>
        <v>11047.669379999999</v>
      </c>
      <c r="I135" s="127">
        <f>6051.79703</f>
        <v>6051.7970299999997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38.89068</f>
        <v>38.890680000000003</v>
      </c>
      <c r="G136" s="127">
        <v>10372.141795000001</v>
      </c>
      <c r="H136" s="127">
        <f>E136-G136</f>
        <v>4566.8582049999986</v>
      </c>
      <c r="I136" s="127">
        <f>10198.53937</f>
        <v>10198.53937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157.9706</f>
        <v>157.97059999999999</v>
      </c>
      <c r="G137" s="127">
        <v>9247.0878700000012</v>
      </c>
      <c r="H137" s="127">
        <f>E137-G137</f>
        <v>3803.9121299999988</v>
      </c>
      <c r="I137" s="127">
        <f>10730.21033</f>
        <v>10730.21033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196.13952</f>
        <v>196.13952</v>
      </c>
      <c r="G138" s="127">
        <v>8231.5911699999997</v>
      </c>
      <c r="H138" s="127">
        <f>E138-G138</f>
        <v>5083.4088300000003</v>
      </c>
      <c r="I138" s="127">
        <f>10434.03702</f>
        <v>10434.03702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0</v>
      </c>
      <c r="G139" s="132">
        <f>SUM(G140:G141)</f>
        <v>8668.1353400000007</v>
      </c>
      <c r="H139" s="132">
        <f>H140+H141</f>
        <v>261.86466000000019</v>
      </c>
      <c r="I139" s="132">
        <f>SUM(I140:I141)</f>
        <v>6377.15301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8291.02557</f>
        <v>8291.0255699999998</v>
      </c>
      <c r="H140" s="127">
        <f t="shared" ref="H140:H148" si="15">E140-G140</f>
        <v>138.97443000000021</v>
      </c>
      <c r="I140" s="127">
        <f>6233.728</f>
        <v>6233.7280000000001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</f>
        <v>0</v>
      </c>
      <c r="G141" s="127">
        <f>377.10977</f>
        <v>377.10977000000003</v>
      </c>
      <c r="H141" s="127">
        <f t="shared" si="15"/>
        <v>122.89022999999997</v>
      </c>
      <c r="I141" s="127">
        <f>143.42501</f>
        <v>143.42500999999999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85.7578</f>
        <v>85.757800000000003</v>
      </c>
      <c r="G142" s="75">
        <f>3627.13422</f>
        <v>3627.1342199999999</v>
      </c>
      <c r="H142" s="75">
        <f t="shared" si="15"/>
        <v>8528.8657800000001</v>
      </c>
      <c r="I142" s="75">
        <f>3956.57562</f>
        <v>3956.5756200000001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22.161</f>
        <v>22.161000000000001</v>
      </c>
      <c r="G144" s="98">
        <f>255.886</f>
        <v>255.886</v>
      </c>
      <c r="H144" s="98">
        <f t="shared" si="15"/>
        <v>-5.8859999999999957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35.27524</f>
        <v>35.275239999999997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0.321</f>
        <v>0.32100000000000001</v>
      </c>
      <c r="G147" s="98">
        <f>38.46173</f>
        <v>38.461730000000003</v>
      </c>
      <c r="H147" s="139">
        <f t="shared" si="15"/>
        <v>237.53827000000001</v>
      </c>
      <c r="I147" s="98">
        <f>26.51293</f>
        <v>26.512930000000001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0.208</f>
        <v>0.20799999999999999</v>
      </c>
      <c r="G148" s="139">
        <f>111.60809</f>
        <v>111.60809</v>
      </c>
      <c r="H148" s="139">
        <f t="shared" si="15"/>
        <v>-111.60809</v>
      </c>
      <c r="I148" s="139">
        <f>91.20693</f>
        <v>91.20693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1212.0599000000002</v>
      </c>
      <c r="G150" s="76">
        <f>G128+G132+G133+G143+G144+G145+G146+G147+G148</f>
        <v>99717.048794999981</v>
      </c>
      <c r="H150" s="76">
        <f>H128+H132+H133+H143+H144+H145+H146+H147+H148</f>
        <v>107922.95120500002</v>
      </c>
      <c r="I150" s="76">
        <f>I128+I132+I133+I143+I144+I145+I146+I147+I148</f>
        <v>114173.33807000001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151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30.02845</f>
        <v>30.028449999999999</v>
      </c>
      <c r="F175" s="275">
        <f>638.54644</f>
        <v>638.54643999999996</v>
      </c>
      <c r="G175" s="43">
        <f>D175-F175-F176</f>
        <v>2417.1454800000001</v>
      </c>
      <c r="H175" s="275">
        <f>1011.81586</f>
        <v>1011.81586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0</f>
        <v>0</v>
      </c>
      <c r="F176" s="152">
        <f>1167.30808</f>
        <v>1167.30808</v>
      </c>
      <c r="G176" s="216"/>
      <c r="H176" s="152">
        <f>1102.79338</f>
        <v>1102.7933800000001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82.16938</f>
        <v>82.169380000000004</v>
      </c>
      <c r="G177" s="172">
        <f>D177-F177</f>
        <v>117.83062</v>
      </c>
      <c r="H177" s="172">
        <f>55.41002</f>
        <v>55.410020000000003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9.7964999999999982</v>
      </c>
      <c r="F178" s="181">
        <f>F179+F180+F181</f>
        <v>3842.7937199999997</v>
      </c>
      <c r="G178" s="181">
        <f>D178-F178</f>
        <v>2491.2062800000003</v>
      </c>
      <c r="H178" s="181">
        <f>H179+H180+H181</f>
        <v>4814.0386900000003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2.12628</f>
        <v>2.1262799999999999</v>
      </c>
      <c r="F179" s="127">
        <f>1854.1648</f>
        <v>1854.1648</v>
      </c>
      <c r="G179" s="127"/>
      <c r="H179" s="127">
        <f>2240.45423</f>
        <v>2240.4542299999998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2.00892</f>
        <v>2.0089199999999998</v>
      </c>
      <c r="F180" s="127">
        <f>1202.45258</f>
        <v>1202.4525799999999</v>
      </c>
      <c r="G180" s="127"/>
      <c r="H180" s="127">
        <f>1582.65648</f>
        <v>1582.6564800000001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5.6613</f>
        <v>5.6612999999999998</v>
      </c>
      <c r="F181" s="192">
        <f>786.17634</f>
        <v>786.17633999999998</v>
      </c>
      <c r="G181" s="192"/>
      <c r="H181" s="192">
        <f>990.92798</f>
        <v>990.92798000000005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39.824950000000001</v>
      </c>
      <c r="F184" s="194">
        <f>F175+F176+F177+F178+F182+F183</f>
        <v>5730.8176199999998</v>
      </c>
      <c r="G184" s="194">
        <f>D184-F184</f>
        <v>5092.1823800000002</v>
      </c>
      <c r="H184" s="194">
        <f>H175+H176+H177+H178+H182+H183</f>
        <v>6984.0579500000003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1738.50868</f>
        <v>1738.5086799999999</v>
      </c>
      <c r="F204" s="124">
        <f>34234.11176</f>
        <v>34234.11176</v>
      </c>
      <c r="G204" s="124">
        <f>D204-F204</f>
        <v>12047.88824</v>
      </c>
      <c r="H204" s="124">
        <f>37227.32678</f>
        <v>37227.326780000003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0.076</f>
        <v>7.5999999999999998E-2</v>
      </c>
      <c r="F205" s="124">
        <f>25.01858</f>
        <v>25.01858</v>
      </c>
      <c r="G205" s="124">
        <f>D205-F205</f>
        <v>74.98142</v>
      </c>
      <c r="H205" s="124">
        <f>17.35325</f>
        <v>17.353249999999999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1738.5846799999999</v>
      </c>
      <c r="F207" s="190">
        <f>SUM(F204:F206)</f>
        <v>34259.130340000003</v>
      </c>
      <c r="G207" s="190">
        <f>D207-F207</f>
        <v>12158.869659999997</v>
      </c>
      <c r="H207" s="190">
        <f>SUM(H204:H206)</f>
        <v>37244.680030000003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0.4491</v>
      </c>
      <c r="F249" s="75">
        <f>F250+F251</f>
        <v>3029.5807399999999</v>
      </c>
      <c r="G249" s="75">
        <f>D249-F249</f>
        <v>957.41926000000012</v>
      </c>
      <c r="H249" s="75">
        <f>H250+H251</f>
        <v>2307.7285900000002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0</f>
        <v>0</v>
      </c>
      <c r="F250" s="75">
        <f>2546.86795</f>
        <v>2546.8679499999998</v>
      </c>
      <c r="G250" s="75"/>
      <c r="H250" s="75">
        <f>1827.79402</f>
        <v>1827.79402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0.4491</f>
        <v>0.4491</v>
      </c>
      <c r="F251" s="124">
        <f>482.71279</f>
        <v>482.71278999999998</v>
      </c>
      <c r="G251" s="168"/>
      <c r="H251" s="124">
        <f>479.93457</f>
        <v>479.93457000000001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102.62734</f>
        <v>102.62734</v>
      </c>
      <c r="F252" s="75">
        <f>4657.12311</f>
        <v>4657.1231100000005</v>
      </c>
      <c r="G252" s="75">
        <f>D252-F252</f>
        <v>-44.123110000000452</v>
      </c>
      <c r="H252" s="75">
        <f>4252.65711</f>
        <v>4252.6571100000001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103.07644000000001</v>
      </c>
      <c r="F253" s="190">
        <f>SUM(F249,F252)</f>
        <v>7686.7038499999999</v>
      </c>
      <c r="G253" s="190">
        <f>D253-F253</f>
        <v>913.29615000000013</v>
      </c>
      <c r="H253" s="190">
        <f>SUM(H249,H252)</f>
        <v>6560.3857000000007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1.2805</v>
      </c>
      <c r="F295" s="75">
        <f>F296+F297</f>
        <v>3375.0895700000001</v>
      </c>
      <c r="G295" s="75">
        <f>D295-F295</f>
        <v>1714.9104299999999</v>
      </c>
      <c r="H295" s="75">
        <f>H296+H297</f>
        <v>2659.9602800000002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0</f>
        <v>0</v>
      </c>
      <c r="F296" s="75">
        <f>2960.34466</f>
        <v>2960.3446600000002</v>
      </c>
      <c r="G296" s="75"/>
      <c r="H296" s="75">
        <f>2260.89183</f>
        <v>2260.89183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1.2805</f>
        <v>1.2805</v>
      </c>
      <c r="F297" s="124">
        <f>414.74491</f>
        <v>414.74491</v>
      </c>
      <c r="G297" s="168"/>
      <c r="H297" s="124">
        <f>399.06845</f>
        <v>399.06844999999998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33.04668</f>
        <v>33.046680000000002</v>
      </c>
      <c r="F298" s="75">
        <f>1992.98559</f>
        <v>1992.98559</v>
      </c>
      <c r="G298" s="75">
        <f>D298-F298</f>
        <v>988.01441</v>
      </c>
      <c r="H298" s="75">
        <f>2182.27092</f>
        <v>2182.2709199999999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34.327179999999998</v>
      </c>
      <c r="F299" s="190">
        <f>SUM(F295,F298)</f>
        <v>5368.0751600000003</v>
      </c>
      <c r="G299" s="190">
        <f>D299-F299</f>
        <v>2702.9248399999997</v>
      </c>
      <c r="H299" s="190">
        <f>SUM(H295,H298)</f>
        <v>4842.2312000000002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9.18974</f>
        <v>9.1897400000000005</v>
      </c>
      <c r="F350" s="124">
        <f>339.73562</f>
        <v>339.73561999999998</v>
      </c>
      <c r="G350" s="124">
        <f>D350-F350</f>
        <v>460.26438000000002</v>
      </c>
      <c r="H350" s="124">
        <f>270.74217</f>
        <v>270.74216999999999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136.91796</f>
        <v>136.91795999999999</v>
      </c>
      <c r="F351" s="124">
        <f>902.8894</f>
        <v>902.88940000000002</v>
      </c>
      <c r="G351" s="124">
        <f>D351-F351</f>
        <v>2138.1106</v>
      </c>
      <c r="H351" s="124">
        <f>981.7814</f>
        <v>981.78139999999996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0.63874</f>
        <v>0.63873999999999997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1.68235</f>
        <v>1.68235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146.10769999999999</v>
      </c>
      <c r="F354" s="190">
        <f>SUM(F350:F353)</f>
        <v>1246.3256399999998</v>
      </c>
      <c r="G354" s="190">
        <f>D354-F354</f>
        <v>2604.67436</v>
      </c>
      <c r="H354" s="190">
        <f>H350+H351+H352+H353</f>
        <v>1254.84466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146</v>
      </c>
      <c r="G379" s="222" t="s">
        <v>147</v>
      </c>
      <c r="H379" s="222" t="s">
        <v>148</v>
      </c>
      <c r="I379" s="222" t="s">
        <v>149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66.405810000000002</v>
      </c>
      <c r="G380" s="252">
        <f t="shared" si="17"/>
        <v>7109.6649899999993</v>
      </c>
      <c r="H380" s="252">
        <f>H384+H383+H382+H381</f>
        <v>15859.335009999999</v>
      </c>
      <c r="I380" s="252">
        <f t="shared" si="17"/>
        <v>5420.5813600000001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0</f>
        <v>0</v>
      </c>
      <c r="G381" s="256">
        <f>4157.25401</f>
        <v>4157.2540099999997</v>
      </c>
      <c r="H381" s="256">
        <f t="shared" ref="H381:H385" si="18">E381-G381</f>
        <v>9032.7459899999994</v>
      </c>
      <c r="I381" s="256">
        <f>2046.30392</f>
        <v>2046.3039200000001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912.4407</f>
        <v>912.44069999999999</v>
      </c>
      <c r="H382" s="256">
        <f t="shared" si="18"/>
        <v>2520.5592999999999</v>
      </c>
      <c r="I382" s="256">
        <f>806.0337</f>
        <v>806.03369999999995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38.46441</f>
        <v>38.464410000000001</v>
      </c>
      <c r="G383" s="256">
        <f>1224.03542</f>
        <v>1224.0354199999999</v>
      </c>
      <c r="H383" s="256">
        <f t="shared" si="18"/>
        <v>258.96458000000007</v>
      </c>
      <c r="I383" s="256">
        <f>1325.71744</f>
        <v>1325.7174399999999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27.9414</f>
        <v>27.941400000000002</v>
      </c>
      <c r="G384" s="256">
        <f>815.93486</f>
        <v>815.93485999999996</v>
      </c>
      <c r="H384" s="256">
        <f t="shared" si="18"/>
        <v>4047.0651400000002</v>
      </c>
      <c r="I384" s="256">
        <f>1242.5263</f>
        <v>1242.5263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0.314</f>
        <v>0.314</v>
      </c>
      <c r="G385" s="267">
        <f>2132.10278</f>
        <v>2132.1027800000002</v>
      </c>
      <c r="H385" s="267">
        <f t="shared" si="18"/>
        <v>3367.8972199999998</v>
      </c>
      <c r="I385" s="267">
        <f>4918.28906</f>
        <v>4918.2890600000001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27.013439999999999</v>
      </c>
      <c r="G386" s="268">
        <f>G388+G387</f>
        <v>1645.93795</v>
      </c>
      <c r="H386" s="268">
        <f>E386-G386</f>
        <v>6354.0620500000005</v>
      </c>
      <c r="I386" s="268">
        <f>I388+I387</f>
        <v>2149.9145400000002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6.26908</f>
        <v>6.2690799999999998</v>
      </c>
      <c r="G387" s="256">
        <f>531.93487</f>
        <v>531.93487000000005</v>
      </c>
      <c r="H387" s="256"/>
      <c r="I387" s="256">
        <f>776.64504</f>
        <v>776.64503999999999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20.74436</f>
        <v>20.74436</v>
      </c>
      <c r="G388" s="277">
        <f>1114.00308</f>
        <v>1114.00308</v>
      </c>
      <c r="H388" s="277"/>
      <c r="I388" s="277">
        <f>1373.2695</f>
        <v>1373.2695000000001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0.1164</f>
        <v>0.1164</v>
      </c>
      <c r="H389" s="267">
        <f>E389-G389</f>
        <v>12.883599999999999</v>
      </c>
      <c r="I389" s="267">
        <f>0.0735</f>
        <v>7.3499999999999996E-2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8.3544</f>
        <v>8.3544</v>
      </c>
      <c r="G390" s="267">
        <f>38.09716</f>
        <v>38.097160000000002</v>
      </c>
      <c r="H390" s="267">
        <f>E390-G390</f>
        <v>-38.097160000000002</v>
      </c>
      <c r="I390" s="267">
        <f>39.49675</f>
        <v>39.496749999999999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102.08765</v>
      </c>
      <c r="G391" s="286">
        <f t="shared" si="19"/>
        <v>10925.919279999998</v>
      </c>
      <c r="H391" s="286">
        <f>H380+H385+H386+H389+H390</f>
        <v>25556.080719999998</v>
      </c>
      <c r="I391" s="286">
        <f t="shared" si="19"/>
        <v>12528.35521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300" t="s">
        <v>120</v>
      </c>
      <c r="D407" s="300"/>
      <c r="E407" s="300"/>
      <c r="F407" s="300"/>
      <c r="G407" s="300"/>
      <c r="H407" s="300"/>
      <c r="I407" s="150"/>
      <c r="J407" s="130"/>
    </row>
    <row r="408" spans="1:10" ht="14.1" customHeight="1" x14ac:dyDescent="0.25">
      <c r="A408" s="217"/>
      <c r="B408" s="72"/>
      <c r="C408" s="300"/>
      <c r="D408" s="300"/>
      <c r="E408" s="300"/>
      <c r="F408" s="300"/>
      <c r="G408" s="300"/>
      <c r="H408" s="300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6.4059999999999997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6.191</f>
        <v>6.1909999999999998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0.215</f>
        <v>0.215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79.620560000000012</v>
      </c>
      <c r="F419" s="36">
        <f>SUM(F420:F421)</f>
        <v>1332.4146700000001</v>
      </c>
      <c r="G419" s="85">
        <f>D419-F419</f>
        <v>-97.414670000000115</v>
      </c>
      <c r="H419" s="36">
        <f>SUM(H420:H421)</f>
        <v>1826.6485399999999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66.74035</f>
        <v>66.740350000000007</v>
      </c>
      <c r="F420" s="30">
        <f>981.10883</f>
        <v>981.10883000000001</v>
      </c>
      <c r="G420" s="97"/>
      <c r="H420" s="30">
        <f>1344.46435</f>
        <v>1344.46435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12.88021</f>
        <v>12.88021</v>
      </c>
      <c r="F421" s="30">
        <f>351.30584</f>
        <v>351.30583999999999</v>
      </c>
      <c r="G421" s="108"/>
      <c r="H421" s="30">
        <f>482.18419</f>
        <v>482.18419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86.026560000000018</v>
      </c>
      <c r="F423" s="40">
        <f>F413+F416+F419+F422</f>
        <v>3542.8148799999999</v>
      </c>
      <c r="G423" s="41"/>
      <c r="H423" s="40">
        <f>H413+H416+H419+H422</f>
        <v>5558.6922000000004</v>
      </c>
      <c r="I423" s="27"/>
      <c r="J423" s="130"/>
    </row>
    <row r="424" spans="1:10" ht="42" customHeight="1" x14ac:dyDescent="0.25">
      <c r="A424" s="217"/>
      <c r="B424" s="72"/>
      <c r="C424" s="301" t="s">
        <v>121</v>
      </c>
      <c r="D424" s="301"/>
      <c r="E424" s="301"/>
      <c r="F424" s="301"/>
      <c r="G424" s="301"/>
      <c r="H424" s="301"/>
      <c r="I424" s="301"/>
      <c r="J424" s="302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407:H408"/>
    <mergeCell ref="C424:J424"/>
    <mergeCell ref="C52:H52"/>
    <mergeCell ref="D55:D59"/>
    <mergeCell ref="G55:G59"/>
    <mergeCell ref="C81:D81"/>
    <mergeCell ref="E81:F81"/>
    <mergeCell ref="G81:H81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26&amp;R01.07.2024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Even Gaulen Gulliksen</cp:lastModifiedBy>
  <cp:lastPrinted>2022-11-14T12:51:47Z</cp:lastPrinted>
  <dcterms:created xsi:type="dcterms:W3CDTF">2022-08-01T13:23:35Z</dcterms:created>
  <dcterms:modified xsi:type="dcterms:W3CDTF">2024-07-01T08:41:29Z</dcterms:modified>
</cp:coreProperties>
</file>