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2023\"/>
    </mc:Choice>
  </mc:AlternateContent>
  <xr:revisionPtr revIDLastSave="0" documentId="13_ncr:1_{8FDB35D6-7970-42CA-A1AF-AB7413737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H104" i="1"/>
  <c r="G103" i="1"/>
  <c r="H103" i="1" s="1"/>
  <c r="H420" i="1"/>
  <c r="F420" i="1"/>
  <c r="G420" i="1" s="1"/>
  <c r="E420" i="1"/>
  <c r="H419" i="1"/>
  <c r="F419" i="1"/>
  <c r="E419" i="1"/>
  <c r="E417" i="1" s="1"/>
  <c r="H418" i="1"/>
  <c r="H417" i="1" s="1"/>
  <c r="F418" i="1"/>
  <c r="E418" i="1"/>
  <c r="F417" i="1"/>
  <c r="G417" i="1" s="1"/>
  <c r="H416" i="1"/>
  <c r="F416" i="1"/>
  <c r="E416" i="1"/>
  <c r="H415" i="1"/>
  <c r="F415" i="1"/>
  <c r="E415" i="1"/>
  <c r="H414" i="1"/>
  <c r="F414" i="1"/>
  <c r="G414" i="1" s="1"/>
  <c r="E414" i="1"/>
  <c r="H413" i="1"/>
  <c r="F413" i="1"/>
  <c r="E413" i="1"/>
  <c r="H412" i="1"/>
  <c r="F412" i="1"/>
  <c r="F411" i="1" s="1"/>
  <c r="E412" i="1"/>
  <c r="E411" i="1" s="1"/>
  <c r="H411" i="1"/>
  <c r="D389" i="1"/>
  <c r="I388" i="1"/>
  <c r="H388" i="1"/>
  <c r="G388" i="1"/>
  <c r="F388" i="1"/>
  <c r="I387" i="1"/>
  <c r="G387" i="1"/>
  <c r="H387" i="1" s="1"/>
  <c r="F387" i="1"/>
  <c r="I386" i="1"/>
  <c r="G386" i="1"/>
  <c r="G384" i="1" s="1"/>
  <c r="H384" i="1" s="1"/>
  <c r="F386" i="1"/>
  <c r="I385" i="1"/>
  <c r="G385" i="1"/>
  <c r="F385" i="1"/>
  <c r="I384" i="1"/>
  <c r="F384" i="1"/>
  <c r="I383" i="1"/>
  <c r="G383" i="1"/>
  <c r="H383" i="1" s="1"/>
  <c r="F383" i="1"/>
  <c r="I382" i="1"/>
  <c r="H382" i="1"/>
  <c r="G382" i="1"/>
  <c r="F382" i="1"/>
  <c r="I381" i="1"/>
  <c r="G381" i="1"/>
  <c r="G378" i="1" s="1"/>
  <c r="F381" i="1"/>
  <c r="I380" i="1"/>
  <c r="H380" i="1"/>
  <c r="G380" i="1"/>
  <c r="F380" i="1"/>
  <c r="I379" i="1"/>
  <c r="G379" i="1"/>
  <c r="H379" i="1" s="1"/>
  <c r="F379" i="1"/>
  <c r="I378" i="1"/>
  <c r="I389" i="1" s="1"/>
  <c r="F378" i="1"/>
  <c r="F389" i="1" s="1"/>
  <c r="E378" i="1"/>
  <c r="E389" i="1" s="1"/>
  <c r="D378" i="1"/>
  <c r="H370" i="1"/>
  <c r="F370" i="1"/>
  <c r="D352" i="1"/>
  <c r="H351" i="1"/>
  <c r="G351" i="1"/>
  <c r="F351" i="1"/>
  <c r="E351" i="1"/>
  <c r="H350" i="1"/>
  <c r="F350" i="1"/>
  <c r="G350" i="1" s="1"/>
  <c r="E350" i="1"/>
  <c r="H349" i="1"/>
  <c r="G349" i="1"/>
  <c r="F349" i="1"/>
  <c r="E349" i="1"/>
  <c r="E352" i="1" s="1"/>
  <c r="H348" i="1"/>
  <c r="H352" i="1" s="1"/>
  <c r="F348" i="1"/>
  <c r="F352" i="1" s="1"/>
  <c r="G352" i="1" s="1"/>
  <c r="E348" i="1"/>
  <c r="D341" i="1"/>
  <c r="H297" i="1"/>
  <c r="E297" i="1"/>
  <c r="H296" i="1"/>
  <c r="F296" i="1"/>
  <c r="E296" i="1"/>
  <c r="H295" i="1"/>
  <c r="F295" i="1"/>
  <c r="E295" i="1"/>
  <c r="H294" i="1"/>
  <c r="F294" i="1"/>
  <c r="F297" i="1" s="1"/>
  <c r="G297" i="1" s="1"/>
  <c r="E294" i="1"/>
  <c r="H252" i="1"/>
  <c r="E252" i="1"/>
  <c r="H251" i="1"/>
  <c r="F251" i="1"/>
  <c r="E251" i="1"/>
  <c r="H250" i="1"/>
  <c r="F250" i="1"/>
  <c r="E250" i="1"/>
  <c r="H249" i="1"/>
  <c r="F249" i="1"/>
  <c r="F252" i="1" s="1"/>
  <c r="G252" i="1" s="1"/>
  <c r="E249" i="1"/>
  <c r="H207" i="1"/>
  <c r="D207" i="1"/>
  <c r="H206" i="1"/>
  <c r="G206" i="1"/>
  <c r="F206" i="1"/>
  <c r="E206" i="1"/>
  <c r="H205" i="1"/>
  <c r="F205" i="1"/>
  <c r="G205" i="1" s="1"/>
  <c r="E205" i="1"/>
  <c r="H204" i="1"/>
  <c r="G204" i="1"/>
  <c r="F204" i="1"/>
  <c r="F207" i="1" s="1"/>
  <c r="G207" i="1" s="1"/>
  <c r="E204" i="1"/>
  <c r="E207" i="1" s="1"/>
  <c r="D184" i="1"/>
  <c r="H183" i="1"/>
  <c r="F183" i="1"/>
  <c r="G183" i="1" s="1"/>
  <c r="E183" i="1"/>
  <c r="H182" i="1"/>
  <c r="G182" i="1"/>
  <c r="F182" i="1"/>
  <c r="E182" i="1"/>
  <c r="H181" i="1"/>
  <c r="F181" i="1"/>
  <c r="E181" i="1"/>
  <c r="H180" i="1"/>
  <c r="F180" i="1"/>
  <c r="E180" i="1"/>
  <c r="H179" i="1"/>
  <c r="H178" i="1" s="1"/>
  <c r="F179" i="1"/>
  <c r="E179" i="1"/>
  <c r="E178" i="1" s="1"/>
  <c r="G178" i="1"/>
  <c r="F178" i="1"/>
  <c r="H177" i="1"/>
  <c r="H184" i="1" s="1"/>
  <c r="F177" i="1"/>
  <c r="G177" i="1" s="1"/>
  <c r="E177" i="1"/>
  <c r="H176" i="1"/>
  <c r="F176" i="1"/>
  <c r="F184" i="1" s="1"/>
  <c r="E176" i="1"/>
  <c r="H175" i="1"/>
  <c r="G175" i="1"/>
  <c r="F175" i="1"/>
  <c r="E175" i="1"/>
  <c r="E150" i="1"/>
  <c r="D150" i="1"/>
  <c r="I148" i="1"/>
  <c r="G148" i="1"/>
  <c r="H148" i="1" s="1"/>
  <c r="F148" i="1"/>
  <c r="I147" i="1"/>
  <c r="H147" i="1"/>
  <c r="G147" i="1"/>
  <c r="F147" i="1"/>
  <c r="H146" i="1"/>
  <c r="H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I139" i="1" s="1"/>
  <c r="G140" i="1"/>
  <c r="G139" i="1" s="1"/>
  <c r="F140" i="1"/>
  <c r="F139" i="1"/>
  <c r="I138" i="1"/>
  <c r="H138" i="1"/>
  <c r="F138" i="1"/>
  <c r="I137" i="1"/>
  <c r="H137" i="1"/>
  <c r="F137" i="1"/>
  <c r="I136" i="1"/>
  <c r="H136" i="1"/>
  <c r="F136" i="1"/>
  <c r="I135" i="1"/>
  <c r="H135" i="1"/>
  <c r="F135" i="1"/>
  <c r="F134" i="1" s="1"/>
  <c r="F133" i="1" s="1"/>
  <c r="I134" i="1"/>
  <c r="I133" i="1" s="1"/>
  <c r="I150" i="1" s="1"/>
  <c r="G134" i="1"/>
  <c r="I132" i="1"/>
  <c r="H132" i="1"/>
  <c r="F132" i="1"/>
  <c r="I131" i="1"/>
  <c r="H131" i="1"/>
  <c r="G131" i="1"/>
  <c r="F131" i="1"/>
  <c r="I130" i="1"/>
  <c r="G130" i="1"/>
  <c r="H130" i="1" s="1"/>
  <c r="F130" i="1"/>
  <c r="I129" i="1"/>
  <c r="H129" i="1"/>
  <c r="H128" i="1" s="1"/>
  <c r="G129" i="1"/>
  <c r="F129" i="1"/>
  <c r="F128" i="1" s="1"/>
  <c r="I128" i="1"/>
  <c r="G128" i="1"/>
  <c r="C126" i="1"/>
  <c r="E107" i="1"/>
  <c r="I106" i="1"/>
  <c r="G106" i="1"/>
  <c r="H106" i="1" s="1"/>
  <c r="F106" i="1"/>
  <c r="I105" i="1"/>
  <c r="H105" i="1"/>
  <c r="G105" i="1"/>
  <c r="F105" i="1"/>
  <c r="F104" i="1"/>
  <c r="I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I97" i="1"/>
  <c r="I96" i="1" s="1"/>
  <c r="I95" i="1" s="1"/>
  <c r="H97" i="1"/>
  <c r="H96" i="1" s="1"/>
  <c r="H95" i="1" s="1"/>
  <c r="G97" i="1"/>
  <c r="F97" i="1"/>
  <c r="F96" i="1" s="1"/>
  <c r="F95" i="1" s="1"/>
  <c r="G96" i="1"/>
  <c r="G95" i="1" s="1"/>
  <c r="D96" i="1"/>
  <c r="D95" i="1" s="1"/>
  <c r="D107" i="1" s="1"/>
  <c r="I94" i="1"/>
  <c r="I92" i="1" s="1"/>
  <c r="G94" i="1"/>
  <c r="H94" i="1" s="1"/>
  <c r="H92" i="1" s="1"/>
  <c r="F94" i="1"/>
  <c r="I93" i="1"/>
  <c r="H93" i="1"/>
  <c r="G93" i="1"/>
  <c r="F93" i="1"/>
  <c r="G92" i="1"/>
  <c r="F92" i="1"/>
  <c r="C89" i="1"/>
  <c r="H85" i="1"/>
  <c r="F85" i="1"/>
  <c r="D85" i="1"/>
  <c r="G61" i="1"/>
  <c r="G60" i="1"/>
  <c r="H55" i="1"/>
  <c r="G55" i="1"/>
  <c r="F55" i="1"/>
  <c r="E55" i="1"/>
  <c r="F32" i="1" s="1"/>
  <c r="E44" i="1"/>
  <c r="D44" i="1"/>
  <c r="I43" i="1"/>
  <c r="H43" i="1"/>
  <c r="G43" i="1"/>
  <c r="F43" i="1"/>
  <c r="H42" i="1"/>
  <c r="I41" i="1"/>
  <c r="H41" i="1"/>
  <c r="G41" i="1"/>
  <c r="F41" i="1"/>
  <c r="H40" i="1"/>
  <c r="F40" i="1"/>
  <c r="I39" i="1"/>
  <c r="G39" i="1"/>
  <c r="H39" i="1" s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F34" i="1" s="1"/>
  <c r="I35" i="1"/>
  <c r="I34" i="1" s="1"/>
  <c r="H35" i="1"/>
  <c r="G35" i="1"/>
  <c r="F35" i="1"/>
  <c r="I33" i="1"/>
  <c r="H33" i="1"/>
  <c r="G33" i="1"/>
  <c r="F33" i="1"/>
  <c r="I32" i="1"/>
  <c r="G32" i="1"/>
  <c r="H32" i="1" s="1"/>
  <c r="I31" i="1"/>
  <c r="H31" i="1"/>
  <c r="G31" i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5" i="1"/>
  <c r="H25" i="1"/>
  <c r="G25" i="1"/>
  <c r="F25" i="1"/>
  <c r="I24" i="1"/>
  <c r="I23" i="1" s="1"/>
  <c r="G24" i="1"/>
  <c r="H24" i="1" s="1"/>
  <c r="H23" i="1" s="1"/>
  <c r="F24" i="1"/>
  <c r="F23" i="1" s="1"/>
  <c r="G23" i="1"/>
  <c r="H16" i="1"/>
  <c r="F16" i="1"/>
  <c r="D16" i="1"/>
  <c r="H134" i="1" l="1"/>
  <c r="H133" i="1" s="1"/>
  <c r="H150" i="1" s="1"/>
  <c r="I107" i="1"/>
  <c r="G107" i="1"/>
  <c r="F27" i="1"/>
  <c r="F26" i="1" s="1"/>
  <c r="F44" i="1" s="1"/>
  <c r="I27" i="1"/>
  <c r="I26" i="1" s="1"/>
  <c r="I44" i="1" s="1"/>
  <c r="H27" i="1"/>
  <c r="G27" i="1"/>
  <c r="G34" i="1"/>
  <c r="H34" i="1" s="1"/>
  <c r="H26" i="1" s="1"/>
  <c r="H44" i="1" s="1"/>
  <c r="F421" i="1"/>
  <c r="G411" i="1"/>
  <c r="F150" i="1"/>
  <c r="G184" i="1"/>
  <c r="G389" i="1"/>
  <c r="G26" i="1"/>
  <c r="G44" i="1" s="1"/>
  <c r="H107" i="1"/>
  <c r="H421" i="1"/>
  <c r="F107" i="1"/>
  <c r="G133" i="1"/>
  <c r="G150" i="1" s="1"/>
  <c r="E184" i="1"/>
  <c r="E421" i="1"/>
  <c r="H381" i="1"/>
  <c r="H378" i="1" s="1"/>
  <c r="H389" i="1" s="1"/>
  <c r="H140" i="1"/>
  <c r="H139" i="1" s="1"/>
  <c r="G348" i="1"/>
</calcChain>
</file>

<file path=xl/sharedStrings.xml><?xml version="1.0" encoding="utf-8"?>
<sst xmlns="http://schemas.openxmlformats.org/spreadsheetml/2006/main" count="358" uniqueCount="150">
  <si>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</si>
  <si>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</si>
  <si>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</si>
  <si>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</si>
  <si>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</si>
  <si>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</si>
  <si>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</si>
  <si>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</si>
  <si>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</si>
  <si>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</si>
  <si>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</si>
  <si>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</si>
  <si>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</si>
  <si>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</si>
  <si>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</si>
  <si>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</si>
  <si>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</si>
  <si>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</si>
  <si>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</si>
  <si>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</si>
  <si>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</si>
  <si>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</si>
  <si>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</si>
  <si>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</si>
  <si>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</si>
  <si>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</si>
  <si>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</si>
  <si>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</si>
  <si>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</si>
  <si>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</si>
  <si>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</si>
  <si>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</si>
  <si>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</si>
  <si>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</si>
  <si>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</si>
  <si>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</si>
  <si>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</si>
  <si>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</si>
  <si>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</si>
  <si>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</si>
  <si>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</si>
  <si>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</si>
  <si>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</si>
  <si>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</si>
  <si>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</si>
  <si>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</si>
  <si>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</si>
  <si>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</si>
  <si>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</si>
  <si>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</si>
  <si>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</si>
  <si>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</si>
  <si>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</si>
  <si>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</si>
  <si>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</si>
  <si>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</si>
  <si>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</si>
  <si>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</si>
  <si>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</si>
  <si>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</si>
  <si>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</si>
  <si>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</si>
  <si>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</si>
  <si>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</si>
  <si>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</si>
  <si>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</si>
  <si>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</si>
  <si>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</si>
  <si>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</si>
  <si>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</si>
  <si>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</si>
  <si>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</si>
  <si>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</si>
  <si>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</si>
  <si>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</si>
  <si>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</si>
  <si>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</si>
  <si>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</si>
  <si>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</si>
  <si>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</si>
  <si>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</si>
  <si>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</si>
  <si>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</si>
  <si>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</si>
  <si>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</si>
  <si>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</si>
  <si>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</si>
  <si>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</si>
  <si>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</si>
  <si>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</si>
  <si>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</si>
  <si>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</si>
  <si>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</si>
  <si>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</si>
  <si>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</si>
  <si>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</si>
  <si>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</si>
  <si>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</si>
  <si>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</si>
  <si>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</si>
  <si>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</si>
  <si>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</si>
  <si>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</si>
  <si>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</si>
  <si>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</si>
  <si>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</si>
  <si>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</si>
  <si>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</si>
  <si>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</si>
  <si>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</si>
  <si>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</si>
  <si>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</si>
  <si>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</si>
  <si>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</si>
  <si>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</si>
  <si>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</si>
  <si>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</si>
  <si>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</si>
  <si>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</si>
  <si>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</si>
  <si>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</si>
  <si>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</si>
  <si>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</si>
  <si>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</si>
  <si>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</si>
  <si>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</si>
  <si>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</si>
  <si>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</si>
  <si>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</si>
  <si>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</si>
  <si>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</si>
  <si>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</si>
  <si>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</si>
  <si>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</si>
  <si>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</si>
  <si>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8 669 tonn er overført fra ubenyttet tredjelandskvoter fra Norges økonomiske til norsk totalkvote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</si>
  <si>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2 370 tonn er overført fra ubenyttet tredjelandskvoter fra Norges økonomiske til norsk totalkvote</t>
    </r>
  </si>
  <si>
    <t>LANGE NORD FOR 62°N</t>
  </si>
  <si>
    <t>BROSME NORD FOR 62°N</t>
  </si>
  <si>
    <t>FANGST AV TORSK, HYSE, SEI, BLÅKVEITE, SNABELUER, LANGE, BROSME OG REKER I 2023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</si>
  <si>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 og kvotebytte med EU er totalt 323 tonn. Det er gjort et fratrekk for ufisket byttekvantum til EU i 2023 fra den norske kvoten, som estimeres å være 275 tonn. Av den norske kvoten er avsatt 10 tonn til forsknings- og undervisningsformål.</t>
    </r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</si>
  <si>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</si>
  <si>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UKE 50</t>
  </si>
  <si>
    <t>FANGST T.O.M UKE 50</t>
  </si>
  <si>
    <t>RESTKVOTER UKE 50</t>
  </si>
  <si>
    <t>FANGST T.O.M UKE 50 2022</t>
  </si>
  <si>
    <r>
      <t xml:space="preserve">3 </t>
    </r>
    <r>
      <rPr>
        <sz val="9"/>
        <color indexed="8"/>
        <rFont val="Calibri"/>
        <family val="2"/>
      </rPr>
      <t>Registrert rekreasjonsfiske utgjør 739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</si>
  <si>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70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</si>
  <si>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710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</si>
  <si>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9 611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</si>
</sst>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/>
    <xf numFmtId="0" fontId="25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28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47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08"/>
  <sheetViews>
    <sheetView showGridLines="0" tabSelected="1" showRuler="0" view="pageLayout" zoomScale="85" zoomScaleNormal="85" zoomScaleSheetLayoutView="100" zoomScalePageLayoutView="85" workbookViewId="0">
      <selection activeCell="G12" sqref="G12"/>
    </sheetView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8" t="s">
        <v>139</v>
      </c>
      <c r="C2" s="299"/>
      <c r="D2" s="299"/>
      <c r="E2" s="299"/>
      <c r="F2" s="299"/>
      <c r="G2" s="299"/>
      <c r="H2" s="299"/>
      <c r="I2" s="299"/>
      <c r="J2" s="300"/>
    </row>
    <row r="3" spans="1:10" ht="14.85" customHeight="1" x14ac:dyDescent="0.25">
      <c r="A3" s="1"/>
      <c r="B3" s="1"/>
      <c r="C3" s="1" t="s">
        <v>119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119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119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119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119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5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1"/>
      <c r="C9" s="302"/>
      <c r="D9" s="302"/>
      <c r="E9" s="302"/>
      <c r="F9" s="302"/>
      <c r="G9" s="302"/>
      <c r="H9" s="302"/>
      <c r="I9" s="302"/>
      <c r="J9" s="303"/>
    </row>
    <row r="10" spans="1:10" ht="12" customHeight="1" x14ac:dyDescent="0.25">
      <c r="A10" s="1"/>
      <c r="B10" s="250"/>
      <c r="C10" s="1"/>
      <c r="D10" s="1"/>
      <c r="E10" s="1"/>
      <c r="F10" s="1"/>
      <c r="G10" s="1"/>
      <c r="H10" s="1"/>
      <c r="I10" s="1"/>
      <c r="J10" s="120"/>
    </row>
    <row r="11" spans="1:10" ht="14.1" customHeight="1" x14ac:dyDescent="0.25">
      <c r="A11" s="156"/>
      <c r="B11" s="52"/>
      <c r="C11" s="295" t="s">
        <v>1</v>
      </c>
      <c r="D11" s="296"/>
      <c r="E11" s="295" t="s">
        <v>2</v>
      </c>
      <c r="F11" s="296"/>
      <c r="G11" s="295" t="s">
        <v>3</v>
      </c>
      <c r="H11" s="296"/>
      <c r="I11" s="178"/>
      <c r="J11" s="240"/>
    </row>
    <row r="12" spans="1:10" ht="14.1" customHeight="1" x14ac:dyDescent="0.25">
      <c r="A12" s="1"/>
      <c r="B12" s="250"/>
      <c r="C12" s="99"/>
      <c r="D12" s="99"/>
      <c r="E12" s="99" t="s">
        <v>4</v>
      </c>
      <c r="F12" s="114">
        <v>79967</v>
      </c>
      <c r="G12" s="115" t="s">
        <v>5</v>
      </c>
      <c r="H12" s="114">
        <v>21768</v>
      </c>
      <c r="I12" s="178"/>
      <c r="J12" s="240"/>
    </row>
    <row r="13" spans="1:10" ht="15.75" customHeight="1" x14ac:dyDescent="0.25">
      <c r="A13" s="1"/>
      <c r="B13" s="250"/>
      <c r="C13" s="115" t="s">
        <v>6</v>
      </c>
      <c r="D13" s="117">
        <v>260782</v>
      </c>
      <c r="E13" s="115" t="s">
        <v>7</v>
      </c>
      <c r="F13" s="117">
        <v>169930</v>
      </c>
      <c r="G13" s="115" t="s">
        <v>8</v>
      </c>
      <c r="H13" s="117">
        <v>121832</v>
      </c>
      <c r="I13" s="178"/>
      <c r="J13" s="240"/>
    </row>
    <row r="14" spans="1:10" ht="14.25" customHeight="1" x14ac:dyDescent="0.25">
      <c r="A14" s="1"/>
      <c r="B14" s="250"/>
      <c r="C14" s="115" t="s">
        <v>9</v>
      </c>
      <c r="D14" s="117">
        <v>248782</v>
      </c>
      <c r="E14" s="115" t="s">
        <v>10</v>
      </c>
      <c r="F14" s="117">
        <v>19554</v>
      </c>
      <c r="G14" s="115" t="s">
        <v>11</v>
      </c>
      <c r="H14" s="117">
        <v>15290</v>
      </c>
      <c r="I14" s="178"/>
      <c r="J14" s="240"/>
    </row>
    <row r="15" spans="1:10" ht="15.75" customHeight="1" x14ac:dyDescent="0.25">
      <c r="A15" s="1"/>
      <c r="B15" s="250"/>
      <c r="C15" s="115" t="s">
        <v>75</v>
      </c>
      <c r="D15" s="117">
        <v>78220</v>
      </c>
      <c r="E15" s="147"/>
      <c r="F15" s="166"/>
      <c r="G15" s="165" t="s">
        <v>12</v>
      </c>
      <c r="H15" s="287">
        <v>11040</v>
      </c>
      <c r="I15" s="178"/>
      <c r="J15" s="240"/>
    </row>
    <row r="16" spans="1:10" ht="14.1" customHeight="1" x14ac:dyDescent="0.25">
      <c r="A16" s="1"/>
      <c r="B16" s="250"/>
      <c r="C16" s="177" t="s">
        <v>13</v>
      </c>
      <c r="D16" s="189">
        <f>SUM(D13:D15)</f>
        <v>587784</v>
      </c>
      <c r="E16" s="177" t="s">
        <v>14</v>
      </c>
      <c r="F16" s="189">
        <f>SUM(F12:F15)</f>
        <v>269451</v>
      </c>
      <c r="G16" s="177" t="s">
        <v>7</v>
      </c>
      <c r="H16" s="189">
        <f>SUM(H12:H15)</f>
        <v>169930</v>
      </c>
      <c r="J16" s="240"/>
    </row>
    <row r="17" spans="1:10" ht="15" customHeight="1" x14ac:dyDescent="0.25">
      <c r="A17" s="101"/>
      <c r="B17" s="24"/>
      <c r="C17" s="101" t="s">
        <v>135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7"/>
      <c r="C18" s="268"/>
      <c r="D18" s="268"/>
      <c r="E18" s="109"/>
      <c r="F18" s="268"/>
      <c r="G18" s="268"/>
      <c r="H18" s="268"/>
      <c r="I18" s="268"/>
      <c r="J18" s="184"/>
    </row>
    <row r="19" spans="1:10" ht="15" customHeight="1" x14ac:dyDescent="0.25">
      <c r="A19" s="1"/>
      <c r="B19" s="250"/>
      <c r="C19" s="254"/>
      <c r="D19" s="254"/>
      <c r="E19" s="271"/>
      <c r="F19" s="254"/>
      <c r="G19" s="254"/>
      <c r="H19" s="254"/>
      <c r="I19" s="254"/>
      <c r="J19" s="3"/>
    </row>
    <row r="20" spans="1:10" ht="15" customHeight="1" x14ac:dyDescent="0.25">
      <c r="A20" s="1"/>
      <c r="B20" s="250"/>
      <c r="C20" s="18" t="s">
        <v>15</v>
      </c>
      <c r="D20" s="254"/>
      <c r="E20" s="271"/>
      <c r="F20" s="254"/>
      <c r="G20" s="254"/>
      <c r="H20" s="202"/>
      <c r="I20" s="254"/>
      <c r="J20" s="3"/>
    </row>
    <row r="21" spans="1:10" ht="12" customHeight="1" x14ac:dyDescent="0.25">
      <c r="A21" s="1"/>
      <c r="B21" s="250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2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76"/>
    </row>
    <row r="23" spans="1:10" ht="14.1" customHeight="1" x14ac:dyDescent="0.25">
      <c r="A23" s="1"/>
      <c r="B23" s="250"/>
      <c r="C23" s="16" t="s">
        <v>19</v>
      </c>
      <c r="D23" s="28">
        <v>79967</v>
      </c>
      <c r="E23" s="28">
        <v>86549</v>
      </c>
      <c r="F23" s="28">
        <f t="shared" ref="F23:I23" si="0">F25+F24</f>
        <v>700.69799999999998</v>
      </c>
      <c r="G23" s="28">
        <f t="shared" si="0"/>
        <v>80465.438670000003</v>
      </c>
      <c r="H23" s="11">
        <f t="shared" si="0"/>
        <v>6083.5613300000005</v>
      </c>
      <c r="I23" s="11">
        <f t="shared" si="0"/>
        <v>99676.215350000013</v>
      </c>
      <c r="J23" s="240"/>
    </row>
    <row r="24" spans="1:10" ht="14.1" customHeight="1" x14ac:dyDescent="0.25">
      <c r="A24" s="1"/>
      <c r="B24" s="250"/>
      <c r="C24" s="44" t="s">
        <v>20</v>
      </c>
      <c r="D24" s="45">
        <v>79217</v>
      </c>
      <c r="E24" s="45">
        <v>85767</v>
      </c>
      <c r="F24" s="23">
        <f>700.698</f>
        <v>700.69799999999998</v>
      </c>
      <c r="G24" s="23">
        <f>79765.66966</f>
        <v>79765.66966</v>
      </c>
      <c r="H24" s="23">
        <f>E24-G24</f>
        <v>6001.3303400000004</v>
      </c>
      <c r="I24" s="23">
        <f>99073.58655</f>
        <v>99073.586550000007</v>
      </c>
      <c r="J24" s="240"/>
    </row>
    <row r="25" spans="1:10" ht="14.1" customHeight="1" x14ac:dyDescent="0.25">
      <c r="A25" s="1"/>
      <c r="B25" s="250"/>
      <c r="C25" s="48" t="s">
        <v>21</v>
      </c>
      <c r="D25" s="49">
        <v>750</v>
      </c>
      <c r="E25" s="49">
        <v>782</v>
      </c>
      <c r="F25" s="171">
        <f>0</f>
        <v>0</v>
      </c>
      <c r="G25" s="23">
        <f>699.76901</f>
        <v>699.76900999999998</v>
      </c>
      <c r="H25" s="23">
        <f>E25-G25</f>
        <v>82.23099000000002</v>
      </c>
      <c r="I25" s="23">
        <f>602.6288</f>
        <v>602.62879999999996</v>
      </c>
      <c r="J25" s="240"/>
    </row>
    <row r="26" spans="1:10" ht="14.1" customHeight="1" x14ac:dyDescent="0.25">
      <c r="A26" s="1"/>
      <c r="B26" s="250"/>
      <c r="C26" s="16" t="s">
        <v>22</v>
      </c>
      <c r="D26" s="28">
        <v>175233</v>
      </c>
      <c r="E26" s="28">
        <v>197924</v>
      </c>
      <c r="F26" s="28">
        <f t="shared" ref="F26:I26" si="1">F34+F33+F27</f>
        <v>1133.8398699999998</v>
      </c>
      <c r="G26" s="11">
        <f t="shared" si="1"/>
        <v>189913.74804999999</v>
      </c>
      <c r="H26" s="11">
        <f t="shared" si="1"/>
        <v>8010.251949999998</v>
      </c>
      <c r="I26" s="11">
        <f t="shared" si="1"/>
        <v>235830.65783000004</v>
      </c>
      <c r="J26" s="240"/>
    </row>
    <row r="27" spans="1:10" ht="15" customHeight="1" x14ac:dyDescent="0.25">
      <c r="A27" s="51"/>
      <c r="B27" s="53"/>
      <c r="C27" s="56" t="s">
        <v>23</v>
      </c>
      <c r="D27" s="58">
        <v>136975</v>
      </c>
      <c r="E27" s="58">
        <v>152055</v>
      </c>
      <c r="F27" s="132">
        <f>F28+F29+F30+F31+F32</f>
        <v>807.45386999999994</v>
      </c>
      <c r="G27" s="132">
        <f t="shared" ref="G27:I27" si="2">G28+G29+G30+G31+G32</f>
        <v>147352.22938999999</v>
      </c>
      <c r="H27" s="132">
        <f t="shared" si="2"/>
        <v>4702.7706099999996</v>
      </c>
      <c r="I27" s="132">
        <f t="shared" si="2"/>
        <v>186723.38446000003</v>
      </c>
      <c r="J27" s="240"/>
    </row>
    <row r="28" spans="1:10" ht="14.1" customHeight="1" x14ac:dyDescent="0.25">
      <c r="A28" s="197"/>
      <c r="B28" s="182"/>
      <c r="C28" s="62" t="s">
        <v>24</v>
      </c>
      <c r="D28" s="63">
        <v>32925</v>
      </c>
      <c r="E28" s="63">
        <v>39550</v>
      </c>
      <c r="F28" s="203">
        <f>225.14672</f>
        <v>225.14671999999999</v>
      </c>
      <c r="G28" s="127">
        <f>39534.77451 - F57</f>
        <v>36345.774510000003</v>
      </c>
      <c r="H28" s="127">
        <f t="shared" ref="H28:H40" si="3">E28-G28</f>
        <v>3204.2254899999971</v>
      </c>
      <c r="I28" s="127">
        <f>46861.22467 - H57</f>
        <v>42071.224670000003</v>
      </c>
      <c r="J28" s="65"/>
    </row>
    <row r="29" spans="1:10" ht="14.1" customHeight="1" x14ac:dyDescent="0.25">
      <c r="A29" s="197"/>
      <c r="B29" s="182"/>
      <c r="C29" s="62" t="s">
        <v>25</v>
      </c>
      <c r="D29" s="63">
        <v>36657</v>
      </c>
      <c r="E29" s="63">
        <v>40836</v>
      </c>
      <c r="F29" s="127">
        <f>234.81543</f>
        <v>234.81542999999999</v>
      </c>
      <c r="G29" s="127">
        <f>42738.03275 - F58</f>
        <v>39965.032749999998</v>
      </c>
      <c r="H29" s="127">
        <f t="shared" si="3"/>
        <v>870.96725000000151</v>
      </c>
      <c r="I29" s="127">
        <f>53081.4607 - H58</f>
        <v>50303.460700000003</v>
      </c>
      <c r="J29" s="65"/>
    </row>
    <row r="30" spans="1:10" ht="14.1" customHeight="1" x14ac:dyDescent="0.25">
      <c r="A30" s="197"/>
      <c r="B30" s="182"/>
      <c r="C30" s="62" t="s">
        <v>26</v>
      </c>
      <c r="D30" s="63">
        <v>33272</v>
      </c>
      <c r="E30" s="63">
        <v>37248</v>
      </c>
      <c r="F30" s="127">
        <f>32.44614</f>
        <v>32.44614</v>
      </c>
      <c r="G30" s="127">
        <f>38460.76857 - F59</f>
        <v>37056.76857</v>
      </c>
      <c r="H30" s="127">
        <f t="shared" si="3"/>
        <v>191.23142999999982</v>
      </c>
      <c r="I30" s="127">
        <f>49818.03417 - H59</f>
        <v>48293.034169999999</v>
      </c>
      <c r="J30" s="65"/>
    </row>
    <row r="31" spans="1:10" ht="14.1" customHeight="1" x14ac:dyDescent="0.25">
      <c r="A31" s="197"/>
      <c r="B31" s="182"/>
      <c r="C31" s="62" t="s">
        <v>27</v>
      </c>
      <c r="D31" s="63">
        <v>24281</v>
      </c>
      <c r="E31" s="63">
        <v>24757</v>
      </c>
      <c r="F31" s="127">
        <f>64.04558</f>
        <v>64.045580000000001</v>
      </c>
      <c r="G31" s="127">
        <f>25821.65356 - F60</f>
        <v>24715.653559999999</v>
      </c>
      <c r="H31" s="127">
        <f t="shared" si="3"/>
        <v>41.346440000001166</v>
      </c>
      <c r="I31" s="127">
        <f>34731.66492 - H60</f>
        <v>34048.664920000003</v>
      </c>
      <c r="J31" s="65"/>
    </row>
    <row r="32" spans="1:10" ht="14.1" customHeight="1" x14ac:dyDescent="0.25">
      <c r="A32" s="197"/>
      <c r="B32" s="182"/>
      <c r="C32" s="62" t="s">
        <v>28</v>
      </c>
      <c r="D32" s="63">
        <v>9840</v>
      </c>
      <c r="E32" s="63">
        <v>9664</v>
      </c>
      <c r="F32" s="127">
        <f>E55</f>
        <v>251</v>
      </c>
      <c r="G32" s="127">
        <f>F55</f>
        <v>9269</v>
      </c>
      <c r="H32" s="127">
        <f t="shared" si="3"/>
        <v>395</v>
      </c>
      <c r="I32" s="127">
        <f>H55</f>
        <v>12007</v>
      </c>
      <c r="J32" s="65"/>
    </row>
    <row r="33" spans="1:13" ht="14.1" customHeight="1" x14ac:dyDescent="0.25">
      <c r="A33" s="66"/>
      <c r="B33" s="53"/>
      <c r="C33" s="56" t="s">
        <v>29</v>
      </c>
      <c r="D33" s="58">
        <v>21768</v>
      </c>
      <c r="E33" s="58">
        <v>23517</v>
      </c>
      <c r="F33" s="132">
        <f>148.69118</f>
        <v>148.69118</v>
      </c>
      <c r="G33" s="132">
        <f>20281.22794</f>
        <v>20281.227940000001</v>
      </c>
      <c r="H33" s="132">
        <f t="shared" si="3"/>
        <v>3235.7720599999993</v>
      </c>
      <c r="I33" s="132">
        <f>26835.74105</f>
        <v>26835.741050000001</v>
      </c>
      <c r="J33" s="65"/>
    </row>
    <row r="34" spans="1:13" ht="14.1" customHeight="1" x14ac:dyDescent="0.25">
      <c r="A34" s="66"/>
      <c r="B34" s="53"/>
      <c r="C34" s="56" t="s">
        <v>30</v>
      </c>
      <c r="D34" s="58">
        <v>16490</v>
      </c>
      <c r="E34" s="58">
        <v>22352</v>
      </c>
      <c r="F34" s="132">
        <f>F35+F36</f>
        <v>177.69481999999999</v>
      </c>
      <c r="G34" s="132">
        <f>G35+G36</f>
        <v>22280.290720000001</v>
      </c>
      <c r="H34" s="132">
        <f t="shared" si="3"/>
        <v>71.709279999999126</v>
      </c>
      <c r="I34" s="132">
        <f>I35+I36</f>
        <v>22271.532319999998</v>
      </c>
      <c r="J34" s="65"/>
    </row>
    <row r="35" spans="1:13" ht="14.1" customHeight="1" x14ac:dyDescent="0.25">
      <c r="A35" s="197"/>
      <c r="B35" s="182"/>
      <c r="C35" s="62" t="s">
        <v>31</v>
      </c>
      <c r="D35" s="63">
        <v>15290</v>
      </c>
      <c r="E35" s="63">
        <v>21152</v>
      </c>
      <c r="F35" s="127">
        <f>114.69482</f>
        <v>114.69482000000001</v>
      </c>
      <c r="G35" s="132">
        <f>25702.29072 - F61 - F62</f>
        <v>21174.290720000001</v>
      </c>
      <c r="H35" s="127">
        <f t="shared" si="3"/>
        <v>-22.290720000000874</v>
      </c>
      <c r="I35" s="127">
        <f>23271.5323199999 - H61 - H62</f>
        <v>21588.532319999998</v>
      </c>
      <c r="J35" s="65"/>
    </row>
    <row r="36" spans="1:13" ht="14.1" customHeight="1" x14ac:dyDescent="0.25">
      <c r="A36" s="197"/>
      <c r="B36" s="182"/>
      <c r="C36" s="69" t="s">
        <v>32</v>
      </c>
      <c r="D36" s="70">
        <v>1200</v>
      </c>
      <c r="E36" s="70">
        <v>1200</v>
      </c>
      <c r="F36" s="71">
        <f>E60</f>
        <v>63</v>
      </c>
      <c r="G36" s="71">
        <f>F60</f>
        <v>1106</v>
      </c>
      <c r="H36" s="71">
        <f t="shared" si="3"/>
        <v>94</v>
      </c>
      <c r="I36" s="71">
        <f>H60</f>
        <v>683</v>
      </c>
      <c r="J36" s="65"/>
    </row>
    <row r="37" spans="1:13" ht="15.75" customHeight="1" x14ac:dyDescent="0.25">
      <c r="A37" s="1"/>
      <c r="B37" s="250"/>
      <c r="C37" s="73" t="s">
        <v>33</v>
      </c>
      <c r="D37" s="143">
        <v>3000</v>
      </c>
      <c r="E37" s="143">
        <v>3000</v>
      </c>
      <c r="F37" s="139">
        <f>0</f>
        <v>0</v>
      </c>
      <c r="G37" s="139">
        <f>746.7916</f>
        <v>746.79160000000002</v>
      </c>
      <c r="H37" s="139">
        <f t="shared" si="3"/>
        <v>2253.2084</v>
      </c>
      <c r="I37" s="139">
        <f>435.0626</f>
        <v>435.06259999999997</v>
      </c>
      <c r="J37" s="240"/>
    </row>
    <row r="38" spans="1:13" ht="14.1" customHeight="1" x14ac:dyDescent="0.25">
      <c r="A38" s="1"/>
      <c r="B38" s="250"/>
      <c r="C38" s="73" t="s">
        <v>34</v>
      </c>
      <c r="D38" s="143">
        <v>851</v>
      </c>
      <c r="E38" s="143">
        <v>851</v>
      </c>
      <c r="F38" s="98">
        <f>15.3165</f>
        <v>15.3165</v>
      </c>
      <c r="G38" s="98">
        <f>629.5247</f>
        <v>629.52470000000005</v>
      </c>
      <c r="H38" s="98">
        <f t="shared" si="3"/>
        <v>221.47529999999995</v>
      </c>
      <c r="I38" s="98">
        <f>619.81545</f>
        <v>619.81545000000006</v>
      </c>
      <c r="J38" s="240"/>
    </row>
    <row r="39" spans="1:13" ht="17.25" customHeight="1" x14ac:dyDescent="0.25">
      <c r="A39" s="1"/>
      <c r="B39" s="250"/>
      <c r="C39" s="73" t="s">
        <v>35</v>
      </c>
      <c r="D39" s="143">
        <v>3000</v>
      </c>
      <c r="E39" s="143">
        <v>3000</v>
      </c>
      <c r="F39" s="98">
        <f>E61</f>
        <v>18</v>
      </c>
      <c r="G39" s="98">
        <f>F61</f>
        <v>4528</v>
      </c>
      <c r="H39" s="98">
        <f t="shared" si="3"/>
        <v>-1528</v>
      </c>
      <c r="I39" s="98">
        <f>H61</f>
        <v>1683</v>
      </c>
      <c r="J39" s="240"/>
    </row>
    <row r="40" spans="1:13" ht="17.25" customHeight="1" x14ac:dyDescent="0.25">
      <c r="A40" s="1"/>
      <c r="B40" s="250"/>
      <c r="C40" s="73" t="s">
        <v>36</v>
      </c>
      <c r="D40" s="143">
        <v>7000</v>
      </c>
      <c r="E40" s="143">
        <v>7000</v>
      </c>
      <c r="F40" s="98">
        <f>3.66964</f>
        <v>3.6696399999999998</v>
      </c>
      <c r="G40" s="98">
        <v>7000</v>
      </c>
      <c r="H40" s="98">
        <f t="shared" si="3"/>
        <v>0</v>
      </c>
      <c r="I40" s="98">
        <v>7000</v>
      </c>
      <c r="J40" s="240"/>
    </row>
    <row r="41" spans="1:13" ht="17.25" customHeight="1" x14ac:dyDescent="0.25">
      <c r="A41" s="1"/>
      <c r="B41" s="250"/>
      <c r="C41" s="73" t="s">
        <v>38</v>
      </c>
      <c r="D41" s="143">
        <v>300</v>
      </c>
      <c r="E41" s="143">
        <v>300</v>
      </c>
      <c r="F41" s="98">
        <f>4.719</f>
        <v>4.7190000000000003</v>
      </c>
      <c r="G41" s="98">
        <f>371.5678</f>
        <v>371.56779999999998</v>
      </c>
      <c r="H41" s="98">
        <f>E41-G41</f>
        <v>-71.567799999999977</v>
      </c>
      <c r="I41" s="98">
        <f>126.80105</f>
        <v>126.80105</v>
      </c>
      <c r="J41" s="240"/>
    </row>
    <row r="42" spans="1:13" ht="17.25" customHeight="1" x14ac:dyDescent="0.25">
      <c r="A42" s="1"/>
      <c r="B42" s="250"/>
      <c r="C42" s="73" t="s">
        <v>39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0"/>
      <c r="M42" s="221"/>
    </row>
    <row r="43" spans="1:13" ht="14.1" customHeight="1" x14ac:dyDescent="0.25">
      <c r="A43" s="1"/>
      <c r="B43" s="250"/>
      <c r="C43" s="73" t="s">
        <v>40</v>
      </c>
      <c r="D43" s="143"/>
      <c r="E43" s="139"/>
      <c r="F43" s="139">
        <f>0</f>
        <v>0</v>
      </c>
      <c r="G43" s="139">
        <f>206.80727</f>
        <v>206.80726999999999</v>
      </c>
      <c r="H43" s="139">
        <f t="shared" ref="H43" si="4">E43-G43</f>
        <v>-206.80726999999999</v>
      </c>
      <c r="I43" s="139">
        <f>72.2019</f>
        <v>72.201899999999995</v>
      </c>
      <c r="J43" s="240"/>
    </row>
    <row r="44" spans="1:13" ht="16.5" customHeight="1" x14ac:dyDescent="0.25">
      <c r="A44" s="1"/>
      <c r="B44" s="250"/>
      <c r="C44" s="74" t="s">
        <v>41</v>
      </c>
      <c r="D44" s="76">
        <f t="shared" ref="D44:I44" si="5">D23+D26+D37+D38+D39+D40+D41+D42+D43</f>
        <v>269451</v>
      </c>
      <c r="E44" s="76">
        <f t="shared" si="5"/>
        <v>298724</v>
      </c>
      <c r="F44" s="76">
        <f t="shared" si="5"/>
        <v>1876.2430099999997</v>
      </c>
      <c r="G44" s="76">
        <f t="shared" si="5"/>
        <v>283861.88209000003</v>
      </c>
      <c r="H44" s="76">
        <f t="shared" si="5"/>
        <v>14862.117909999995</v>
      </c>
      <c r="I44" s="76">
        <f t="shared" si="5"/>
        <v>345443.75418000005</v>
      </c>
      <c r="J44" s="240"/>
    </row>
    <row r="45" spans="1:13" ht="14.1" customHeight="1" x14ac:dyDescent="0.25">
      <c r="A45" s="101"/>
      <c r="B45" s="24"/>
      <c r="C45" s="77" t="s">
        <v>127</v>
      </c>
      <c r="D45" s="254"/>
      <c r="E45" s="254"/>
      <c r="F45" s="80"/>
      <c r="G45" s="80"/>
      <c r="H45" s="224"/>
      <c r="I45" s="224"/>
      <c r="J45" s="81"/>
    </row>
    <row r="46" spans="1:13" ht="14.1" customHeight="1" x14ac:dyDescent="0.25">
      <c r="A46" s="101"/>
      <c r="B46" s="24"/>
      <c r="C46" s="82" t="s">
        <v>42</v>
      </c>
      <c r="D46" s="254"/>
      <c r="E46" s="254"/>
      <c r="F46" s="254"/>
      <c r="G46" s="80"/>
      <c r="H46" s="178"/>
      <c r="I46" s="178"/>
      <c r="J46" s="240"/>
    </row>
    <row r="47" spans="1:13" ht="14.1" customHeight="1" x14ac:dyDescent="0.25">
      <c r="A47" s="101"/>
      <c r="B47" s="24"/>
      <c r="C47" s="161" t="s">
        <v>146</v>
      </c>
      <c r="D47" s="254"/>
      <c r="E47" s="254"/>
      <c r="F47" s="254"/>
      <c r="G47" s="80"/>
      <c r="H47" s="178"/>
      <c r="I47" s="178"/>
      <c r="J47" s="120"/>
    </row>
    <row r="48" spans="1:13" ht="14.1" customHeight="1" x14ac:dyDescent="0.25">
      <c r="A48" s="101"/>
      <c r="B48" s="24"/>
      <c r="C48" s="161" t="s">
        <v>126</v>
      </c>
      <c r="D48" s="254"/>
      <c r="E48" s="254"/>
      <c r="F48" s="254"/>
      <c r="G48" s="254"/>
      <c r="H48" s="178"/>
      <c r="I48" s="178"/>
      <c r="J48" s="120"/>
    </row>
    <row r="49" spans="1:10" ht="14.1" customHeight="1" x14ac:dyDescent="0.25">
      <c r="A49" s="101"/>
      <c r="B49" s="24"/>
      <c r="C49" s="101" t="s">
        <v>43</v>
      </c>
      <c r="D49" s="254"/>
      <c r="E49" s="254"/>
      <c r="F49" s="254"/>
      <c r="G49" s="254"/>
      <c r="H49" s="178"/>
      <c r="I49" s="178"/>
      <c r="J49" s="120"/>
    </row>
    <row r="50" spans="1:10" ht="14.1" customHeight="1" x14ac:dyDescent="0.25">
      <c r="A50" s="101"/>
      <c r="B50" s="24"/>
      <c r="C50" s="101"/>
      <c r="D50" s="254"/>
      <c r="E50" s="254"/>
      <c r="F50" s="254"/>
      <c r="G50" s="254"/>
      <c r="H50" s="178"/>
      <c r="I50" s="178"/>
      <c r="J50" s="120"/>
    </row>
    <row r="51" spans="1:10" ht="20.25" customHeight="1" x14ac:dyDescent="0.25">
      <c r="A51" s="101"/>
      <c r="B51" s="237"/>
      <c r="C51" s="268"/>
      <c r="D51" s="268"/>
      <c r="E51" s="109"/>
      <c r="F51" s="268"/>
      <c r="G51" s="268"/>
      <c r="H51" s="268"/>
      <c r="I51" s="268"/>
      <c r="J51" s="184"/>
    </row>
    <row r="52" spans="1:10" ht="33" customHeight="1" x14ac:dyDescent="0.25">
      <c r="A52" s="101"/>
      <c r="B52" s="24"/>
      <c r="C52" s="291" t="s">
        <v>44</v>
      </c>
      <c r="D52" s="291"/>
      <c r="E52" s="291"/>
      <c r="F52" s="291"/>
      <c r="G52" s="291"/>
      <c r="H52" s="291"/>
      <c r="I52" s="83"/>
      <c r="J52" s="84"/>
    </row>
    <row r="53" spans="1:10" ht="7.5" customHeight="1" x14ac:dyDescent="0.25">
      <c r="A53" s="101"/>
      <c r="B53" s="24"/>
      <c r="C53" s="161"/>
      <c r="D53" s="254"/>
      <c r="E53" s="254"/>
      <c r="F53" s="254"/>
      <c r="G53" s="254"/>
      <c r="H53" s="178"/>
      <c r="I53" s="178"/>
      <c r="J53" s="120"/>
    </row>
    <row r="54" spans="1:10" ht="61.5" customHeight="1" x14ac:dyDescent="0.25">
      <c r="A54" s="101"/>
      <c r="B54" s="24"/>
      <c r="C54" s="86" t="s">
        <v>16</v>
      </c>
      <c r="D54" s="68" t="s">
        <v>45</v>
      </c>
      <c r="E54" s="68" t="s">
        <v>142</v>
      </c>
      <c r="F54" s="68" t="s">
        <v>143</v>
      </c>
      <c r="G54" s="68" t="s">
        <v>144</v>
      </c>
      <c r="H54" s="68" t="s">
        <v>145</v>
      </c>
      <c r="I54" s="254"/>
      <c r="J54" s="240"/>
    </row>
    <row r="55" spans="1:10" ht="14.1" customHeight="1" x14ac:dyDescent="0.25">
      <c r="A55" s="101"/>
      <c r="B55" s="24"/>
      <c r="C55" s="16" t="s">
        <v>46</v>
      </c>
      <c r="D55" s="292">
        <v>9840</v>
      </c>
      <c r="E55" s="11">
        <f>E59+E58+E57+E56</f>
        <v>251</v>
      </c>
      <c r="F55" s="11">
        <f>F59+F58+F57+F56</f>
        <v>9269</v>
      </c>
      <c r="G55" s="292">
        <f>D55-F55</f>
        <v>571</v>
      </c>
      <c r="H55" s="11">
        <f>H59+H58+H57+H56</f>
        <v>12007</v>
      </c>
      <c r="I55" s="254"/>
      <c r="J55" s="240"/>
    </row>
    <row r="56" spans="1:10" ht="14.1" customHeight="1" x14ac:dyDescent="0.25">
      <c r="A56" s="101"/>
      <c r="B56" s="24"/>
      <c r="C56" s="62" t="s">
        <v>24</v>
      </c>
      <c r="D56" s="293"/>
      <c r="E56" s="127">
        <v>110</v>
      </c>
      <c r="F56" s="127">
        <v>1903</v>
      </c>
      <c r="G56" s="293"/>
      <c r="H56" s="127">
        <v>2914</v>
      </c>
      <c r="I56" s="254"/>
      <c r="J56" s="240"/>
    </row>
    <row r="57" spans="1:10" ht="14.1" customHeight="1" x14ac:dyDescent="0.25">
      <c r="A57" s="101"/>
      <c r="B57" s="24"/>
      <c r="C57" s="62" t="s">
        <v>25</v>
      </c>
      <c r="D57" s="293"/>
      <c r="E57" s="127">
        <v>94</v>
      </c>
      <c r="F57" s="127">
        <v>3189</v>
      </c>
      <c r="G57" s="293"/>
      <c r="H57" s="127">
        <v>4790</v>
      </c>
      <c r="I57" s="254"/>
      <c r="J57" s="240"/>
    </row>
    <row r="58" spans="1:10" ht="14.1" customHeight="1" x14ac:dyDescent="0.25">
      <c r="A58" s="101"/>
      <c r="B58" s="24"/>
      <c r="C58" s="62" t="s">
        <v>26</v>
      </c>
      <c r="D58" s="293"/>
      <c r="E58" s="127">
        <v>25</v>
      </c>
      <c r="F58" s="127">
        <v>2773</v>
      </c>
      <c r="G58" s="293"/>
      <c r="H58" s="127">
        <v>2778</v>
      </c>
      <c r="I58" s="254"/>
      <c r="J58" s="240"/>
    </row>
    <row r="59" spans="1:10" ht="14.1" customHeight="1" x14ac:dyDescent="0.25">
      <c r="A59" s="101"/>
      <c r="B59" s="24"/>
      <c r="C59" s="87" t="s">
        <v>27</v>
      </c>
      <c r="D59" s="294"/>
      <c r="E59" s="192">
        <v>22</v>
      </c>
      <c r="F59" s="192">
        <v>1404</v>
      </c>
      <c r="G59" s="294"/>
      <c r="H59" s="192">
        <v>1525</v>
      </c>
      <c r="I59" s="254"/>
      <c r="J59" s="240"/>
    </row>
    <row r="60" spans="1:10" ht="14.1" customHeight="1" x14ac:dyDescent="0.25">
      <c r="A60" s="101"/>
      <c r="B60" s="24"/>
      <c r="C60" s="88" t="s">
        <v>47</v>
      </c>
      <c r="D60" s="95">
        <v>1200</v>
      </c>
      <c r="E60" s="95">
        <v>63</v>
      </c>
      <c r="F60" s="95">
        <v>1106</v>
      </c>
      <c r="G60" s="95">
        <f>D60-F60</f>
        <v>94</v>
      </c>
      <c r="H60" s="95">
        <v>683</v>
      </c>
      <c r="I60" s="254"/>
      <c r="J60" s="240"/>
    </row>
    <row r="61" spans="1:10" ht="14.1" customHeight="1" x14ac:dyDescent="0.25">
      <c r="A61" s="101"/>
      <c r="B61" s="24"/>
      <c r="C61" s="142" t="s">
        <v>48</v>
      </c>
      <c r="D61" s="139">
        <v>3000</v>
      </c>
      <c r="E61" s="139">
        <v>18</v>
      </c>
      <c r="F61" s="139">
        <v>4528</v>
      </c>
      <c r="G61" s="139">
        <f>D61-F61</f>
        <v>-1528</v>
      </c>
      <c r="H61" s="139">
        <v>1683</v>
      </c>
      <c r="I61" s="254"/>
      <c r="J61" s="240"/>
    </row>
    <row r="62" spans="1:10" ht="14.1" customHeight="1" x14ac:dyDescent="0.25">
      <c r="A62" s="101"/>
      <c r="B62" s="24"/>
      <c r="C62" s="77" t="s">
        <v>123</v>
      </c>
      <c r="D62" s="254"/>
      <c r="E62" s="254"/>
      <c r="F62" s="254"/>
      <c r="G62" s="254"/>
      <c r="H62" s="178"/>
      <c r="I62" s="178"/>
      <c r="J62" s="120"/>
    </row>
    <row r="63" spans="1:10" ht="14.1" customHeight="1" x14ac:dyDescent="0.25">
      <c r="A63" s="101"/>
      <c r="B63" s="24"/>
      <c r="C63" s="161"/>
      <c r="D63" s="254"/>
      <c r="E63" s="254"/>
      <c r="F63" s="254"/>
      <c r="G63" s="254"/>
      <c r="H63" s="178"/>
      <c r="I63" s="178"/>
      <c r="J63" s="120"/>
    </row>
    <row r="64" spans="1:10" ht="15" customHeight="1" x14ac:dyDescent="0.25">
      <c r="A64" s="101"/>
      <c r="B64" s="24"/>
      <c r="C64" s="161"/>
      <c r="D64" s="254"/>
      <c r="E64" s="254"/>
      <c r="F64" s="254"/>
      <c r="G64" s="254"/>
      <c r="H64" s="178"/>
      <c r="I64" s="178"/>
      <c r="J64" s="120"/>
    </row>
    <row r="65" spans="1:10" ht="12" customHeight="1" x14ac:dyDescent="0.2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4"/>
      <c r="D67" s="119"/>
      <c r="E67" s="119"/>
      <c r="F67" s="119"/>
      <c r="G67" s="119"/>
      <c r="H67" s="1"/>
      <c r="I67" s="1"/>
      <c r="J67" s="1"/>
    </row>
    <row r="68" spans="1:10" x14ac:dyDescent="0.25">
      <c r="B68" s="1" t="s">
        <v>119</v>
      </c>
      <c r="C68" s="284"/>
      <c r="D68" s="119"/>
      <c r="E68" s="119"/>
      <c r="F68" s="119"/>
      <c r="G68" s="119"/>
      <c r="H68" s="1"/>
      <c r="I68" s="1"/>
      <c r="J68" s="1"/>
    </row>
    <row r="71" spans="1:10" ht="0.75" customHeight="1" x14ac:dyDescent="0.25"/>
    <row r="77" spans="1:10" ht="120" customHeight="1" x14ac:dyDescent="0.25"/>
    <row r="78" spans="1:10" ht="17.100000000000001" customHeight="1" x14ac:dyDescent="0.25">
      <c r="B78" s="2"/>
      <c r="C78" s="215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5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25">
      <c r="B81" s="52"/>
      <c r="C81" s="295" t="s">
        <v>1</v>
      </c>
      <c r="D81" s="296"/>
      <c r="E81" s="295" t="s">
        <v>2</v>
      </c>
      <c r="F81" s="297"/>
      <c r="G81" s="295" t="s">
        <v>3</v>
      </c>
      <c r="H81" s="296"/>
      <c r="I81" s="178"/>
      <c r="J81" s="240"/>
    </row>
    <row r="82" spans="1:10" ht="15" customHeight="1" x14ac:dyDescent="0.25">
      <c r="B82" s="250"/>
      <c r="C82" s="115" t="s">
        <v>6</v>
      </c>
      <c r="D82" s="117">
        <v>84177</v>
      </c>
      <c r="E82" s="255" t="s">
        <v>4</v>
      </c>
      <c r="F82" s="114">
        <v>32035</v>
      </c>
      <c r="G82" s="191" t="s">
        <v>5</v>
      </c>
      <c r="H82" s="114">
        <v>9408</v>
      </c>
      <c r="I82" s="178"/>
      <c r="J82" s="240"/>
    </row>
    <row r="83" spans="1:10" ht="15" customHeight="1" x14ac:dyDescent="0.25">
      <c r="B83" s="250"/>
      <c r="C83" s="115" t="s">
        <v>9</v>
      </c>
      <c r="D83" s="117">
        <v>75177</v>
      </c>
      <c r="E83" s="244" t="s">
        <v>7</v>
      </c>
      <c r="F83" s="117">
        <v>52267</v>
      </c>
      <c r="G83" s="191" t="s">
        <v>8</v>
      </c>
      <c r="H83" s="117">
        <v>38678</v>
      </c>
      <c r="I83" s="178"/>
      <c r="J83" s="240"/>
    </row>
    <row r="84" spans="1:10" ht="14.1" customHeight="1" x14ac:dyDescent="0.25">
      <c r="B84" s="250"/>
      <c r="C84" s="115" t="s">
        <v>75</v>
      </c>
      <c r="D84" s="117">
        <v>10713</v>
      </c>
      <c r="E84" s="115" t="s">
        <v>10</v>
      </c>
      <c r="F84" s="117">
        <v>2254</v>
      </c>
      <c r="G84" s="191" t="s">
        <v>11</v>
      </c>
      <c r="H84" s="117">
        <v>4181</v>
      </c>
      <c r="I84" s="178"/>
      <c r="J84" s="240"/>
    </row>
    <row r="85" spans="1:10" ht="12" customHeight="1" x14ac:dyDescent="0.25">
      <c r="B85" s="250"/>
      <c r="C85" s="177" t="s">
        <v>50</v>
      </c>
      <c r="D85" s="189">
        <f>SUM(D82:D84)</f>
        <v>170067</v>
      </c>
      <c r="E85" s="177" t="s">
        <v>14</v>
      </c>
      <c r="F85" s="189">
        <f>SUM(F82:F84)</f>
        <v>86556</v>
      </c>
      <c r="G85" s="177" t="s">
        <v>7</v>
      </c>
      <c r="H85" s="189">
        <f>SUM(H82:H84)</f>
        <v>52267</v>
      </c>
      <c r="I85" s="178"/>
      <c r="J85" s="240"/>
    </row>
    <row r="86" spans="1:10" ht="14.25" customHeight="1" x14ac:dyDescent="0.25">
      <c r="A86" s="1"/>
      <c r="B86" s="250"/>
      <c r="C86" s="101" t="s">
        <v>136</v>
      </c>
      <c r="D86" s="216"/>
      <c r="E86" s="216"/>
      <c r="F86" s="216"/>
      <c r="G86" s="216"/>
      <c r="H86" s="216"/>
      <c r="I86" s="232"/>
      <c r="J86" s="120"/>
    </row>
    <row r="87" spans="1:10" ht="6" customHeight="1" x14ac:dyDescent="0.25">
      <c r="A87" s="1"/>
      <c r="B87" s="250"/>
      <c r="C87" s="96"/>
      <c r="D87" s="96"/>
      <c r="E87" s="96"/>
      <c r="F87" s="96"/>
      <c r="G87" s="96"/>
      <c r="H87" s="96"/>
      <c r="I87" s="232"/>
      <c r="J87" s="120"/>
    </row>
    <row r="88" spans="1:10" ht="14.1" customHeight="1" x14ac:dyDescent="0.25">
      <c r="A88" s="1"/>
      <c r="B88" s="135"/>
      <c r="C88" s="268"/>
      <c r="D88" s="109"/>
      <c r="E88" s="268"/>
      <c r="F88" s="268"/>
      <c r="G88" s="268"/>
      <c r="H88" s="268"/>
      <c r="I88" s="257"/>
      <c r="J88" s="184"/>
    </row>
    <row r="89" spans="1:10" ht="20.25" customHeight="1" x14ac:dyDescent="0.25">
      <c r="A89" s="1"/>
      <c r="B89" s="250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3">
      <c r="A90" s="1"/>
      <c r="B90" s="250"/>
      <c r="C90" s="286"/>
      <c r="D90" s="286"/>
      <c r="E90" s="286"/>
      <c r="F90" s="286"/>
      <c r="G90" s="286"/>
      <c r="H90" s="286"/>
      <c r="I90" s="286"/>
      <c r="J90" s="19"/>
    </row>
    <row r="91" spans="1:10" ht="54" customHeight="1" x14ac:dyDescent="0.25">
      <c r="A91" s="1"/>
      <c r="B91" s="250"/>
      <c r="C91" s="15" t="s">
        <v>16</v>
      </c>
      <c r="D91" s="113" t="s">
        <v>17</v>
      </c>
      <c r="E91" s="15" t="s">
        <v>51</v>
      </c>
      <c r="F91" s="15" t="s">
        <v>142</v>
      </c>
      <c r="G91" s="15" t="s">
        <v>143</v>
      </c>
      <c r="H91" s="15" t="s">
        <v>144</v>
      </c>
      <c r="I91" s="15" t="s">
        <v>145</v>
      </c>
      <c r="J91" s="120"/>
    </row>
    <row r="92" spans="1:10" ht="14.1" customHeight="1" x14ac:dyDescent="0.25">
      <c r="A92" s="1"/>
      <c r="B92" s="250"/>
      <c r="C92" s="32" t="s">
        <v>19</v>
      </c>
      <c r="D92" s="28">
        <v>32035</v>
      </c>
      <c r="E92" s="28">
        <v>34798</v>
      </c>
      <c r="F92" s="11">
        <f t="shared" ref="F92:I92" si="6">F94+F93</f>
        <v>53.332999999999998</v>
      </c>
      <c r="G92" s="11">
        <f t="shared" si="6"/>
        <v>45051.468130000001</v>
      </c>
      <c r="H92" s="11">
        <f t="shared" si="6"/>
        <v>-10253.468129999999</v>
      </c>
      <c r="I92" s="11">
        <f t="shared" si="6"/>
        <v>40463.55629</v>
      </c>
      <c r="J92" s="240"/>
    </row>
    <row r="93" spans="1:10" ht="15" customHeight="1" x14ac:dyDescent="0.25">
      <c r="A93" s="1"/>
      <c r="B93" s="250"/>
      <c r="C93" s="44" t="s">
        <v>20</v>
      </c>
      <c r="D93" s="45">
        <v>31285</v>
      </c>
      <c r="E93" s="45">
        <v>33986</v>
      </c>
      <c r="F93" s="23">
        <f>53.333</f>
        <v>53.332999999999998</v>
      </c>
      <c r="G93" s="23">
        <f>44365.81484</f>
        <v>44365.814839999999</v>
      </c>
      <c r="H93" s="23">
        <f>E93-G93</f>
        <v>-10379.814839999999</v>
      </c>
      <c r="I93" s="23">
        <f>39713.47388</f>
        <v>39713.473879999998</v>
      </c>
      <c r="J93" s="240"/>
    </row>
    <row r="94" spans="1:10" ht="14.1" customHeight="1" x14ac:dyDescent="0.25">
      <c r="A94" s="1"/>
      <c r="B94" s="250"/>
      <c r="C94" s="64" t="s">
        <v>21</v>
      </c>
      <c r="D94" s="49">
        <v>750</v>
      </c>
      <c r="E94" s="49">
        <v>812</v>
      </c>
      <c r="F94" s="50">
        <f>0</f>
        <v>0</v>
      </c>
      <c r="G94" s="50">
        <f>685.65329</f>
        <v>685.65328999999997</v>
      </c>
      <c r="H94" s="50">
        <f>E94-G94</f>
        <v>126.34671000000003</v>
      </c>
      <c r="I94" s="50">
        <f>750.08241</f>
        <v>750.08240999999998</v>
      </c>
      <c r="J94" s="240"/>
    </row>
    <row r="95" spans="1:10" ht="15.75" customHeight="1" x14ac:dyDescent="0.25">
      <c r="A95" s="1"/>
      <c r="B95" s="52"/>
      <c r="C95" s="16" t="s">
        <v>22</v>
      </c>
      <c r="D95" s="28">
        <f>D96+D101+D102</f>
        <v>53851</v>
      </c>
      <c r="E95" s="28">
        <v>59501</v>
      </c>
      <c r="F95" s="11">
        <f t="shared" ref="F95:I95" si="7">F96+F101+F102</f>
        <v>344.53779999999995</v>
      </c>
      <c r="G95" s="11">
        <f t="shared" si="7"/>
        <v>41860.417870000005</v>
      </c>
      <c r="H95" s="11">
        <f t="shared" si="7"/>
        <v>17640.582129999999</v>
      </c>
      <c r="I95" s="11">
        <f t="shared" si="7"/>
        <v>43369.827830000002</v>
      </c>
      <c r="J95" s="240"/>
    </row>
    <row r="96" spans="1:10" ht="14.1" customHeight="1" x14ac:dyDescent="0.25">
      <c r="A96" s="1"/>
      <c r="B96" s="53"/>
      <c r="C96" s="56" t="s">
        <v>23</v>
      </c>
      <c r="D96" s="58">
        <f>D97+D98+D99+D100</f>
        <v>40262</v>
      </c>
      <c r="E96" s="58">
        <v>44492</v>
      </c>
      <c r="F96" s="132">
        <f t="shared" ref="F96:I96" si="8">F97+F98+F99+F100</f>
        <v>252.63297999999998</v>
      </c>
      <c r="G96" s="132">
        <f t="shared" si="8"/>
        <v>27059.980520000001</v>
      </c>
      <c r="H96" s="132">
        <f t="shared" si="8"/>
        <v>17432.019479999999</v>
      </c>
      <c r="I96" s="132">
        <f t="shared" si="8"/>
        <v>32178.865310000001</v>
      </c>
      <c r="J96" s="240"/>
    </row>
    <row r="97" spans="1:10" ht="14.1" customHeight="1" x14ac:dyDescent="0.25">
      <c r="A97" s="197"/>
      <c r="B97" s="182"/>
      <c r="C97" s="62" t="s">
        <v>24</v>
      </c>
      <c r="D97" s="63">
        <v>10751</v>
      </c>
      <c r="E97" s="63">
        <v>11884</v>
      </c>
      <c r="F97" s="127">
        <f>150.84882</f>
        <v>150.84881999999999</v>
      </c>
      <c r="G97" s="127">
        <f>5413.15932</f>
        <v>5413.1593199999998</v>
      </c>
      <c r="H97" s="127">
        <f t="shared" ref="H97:H104" si="9">E97-G97</f>
        <v>6470.8406800000002</v>
      </c>
      <c r="I97" s="127">
        <f>4567.89541</f>
        <v>4567.8954100000001</v>
      </c>
      <c r="J97" s="240"/>
    </row>
    <row r="98" spans="1:10" ht="14.1" customHeight="1" x14ac:dyDescent="0.25">
      <c r="A98" s="197"/>
      <c r="B98" s="182"/>
      <c r="C98" s="62" t="s">
        <v>52</v>
      </c>
      <c r="D98" s="63">
        <v>11448</v>
      </c>
      <c r="E98" s="63">
        <v>12665</v>
      </c>
      <c r="F98" s="127">
        <f>79.7942</f>
        <v>79.794200000000004</v>
      </c>
      <c r="G98" s="127">
        <f>8846.15084</f>
        <v>8846.1508400000002</v>
      </c>
      <c r="H98" s="127">
        <f t="shared" si="9"/>
        <v>3818.8491599999998</v>
      </c>
      <c r="I98" s="127">
        <f>10848.05115</f>
        <v>10848.051149999999</v>
      </c>
      <c r="J98" s="240"/>
    </row>
    <row r="99" spans="1:10" ht="14.1" customHeight="1" x14ac:dyDescent="0.25">
      <c r="A99" s="197"/>
      <c r="B99" s="182"/>
      <c r="C99" s="62" t="s">
        <v>53</v>
      </c>
      <c r="D99" s="63">
        <v>10830</v>
      </c>
      <c r="E99" s="63">
        <v>11966</v>
      </c>
      <c r="F99" s="127">
        <f>14.37364</f>
        <v>14.37364</v>
      </c>
      <c r="G99" s="127">
        <f>7400.34197</f>
        <v>7400.3419700000004</v>
      </c>
      <c r="H99" s="127">
        <f t="shared" si="9"/>
        <v>4565.6580299999996</v>
      </c>
      <c r="I99" s="127">
        <f>8912.16862</f>
        <v>8912.1686200000004</v>
      </c>
      <c r="J99" s="240"/>
    </row>
    <row r="100" spans="1:10" ht="14.1" customHeight="1" x14ac:dyDescent="0.25">
      <c r="A100" s="197"/>
      <c r="B100" s="182"/>
      <c r="C100" s="62" t="s">
        <v>27</v>
      </c>
      <c r="D100" s="63">
        <v>7233</v>
      </c>
      <c r="E100" s="63">
        <v>7977</v>
      </c>
      <c r="F100" s="127">
        <f>7.61632</f>
        <v>7.61632</v>
      </c>
      <c r="G100" s="127">
        <f>5400.32839</f>
        <v>5400.3283899999997</v>
      </c>
      <c r="H100" s="127">
        <f t="shared" si="9"/>
        <v>2576.6716100000003</v>
      </c>
      <c r="I100" s="127">
        <f>7850.75013</f>
        <v>7850.7501300000004</v>
      </c>
      <c r="J100" s="240"/>
    </row>
    <row r="101" spans="1:10" ht="14.1" customHeight="1" x14ac:dyDescent="0.25">
      <c r="A101" s="197"/>
      <c r="B101" s="182"/>
      <c r="C101" s="56" t="s">
        <v>54</v>
      </c>
      <c r="D101" s="58">
        <v>9408</v>
      </c>
      <c r="E101" s="58">
        <v>10391</v>
      </c>
      <c r="F101" s="132">
        <f>12.10044</f>
        <v>12.100440000000001</v>
      </c>
      <c r="G101" s="132">
        <f>12098.91725</f>
        <v>12098.91725</v>
      </c>
      <c r="H101" s="132">
        <f t="shared" si="9"/>
        <v>-1707.9172500000004</v>
      </c>
      <c r="I101" s="132">
        <f>8752.71858</f>
        <v>8752.7185800000007</v>
      </c>
      <c r="J101" s="240"/>
    </row>
    <row r="102" spans="1:10" ht="15.75" customHeight="1" x14ac:dyDescent="0.25">
      <c r="A102" s="1"/>
      <c r="B102" s="53"/>
      <c r="C102" s="38" t="s">
        <v>11</v>
      </c>
      <c r="D102" s="61">
        <v>4181</v>
      </c>
      <c r="E102" s="61">
        <v>4618</v>
      </c>
      <c r="F102" s="75">
        <f>79.80438</f>
        <v>79.804379999999995</v>
      </c>
      <c r="G102" s="75">
        <f>2701.5201</f>
        <v>2701.5201000000002</v>
      </c>
      <c r="H102" s="75">
        <f t="shared" si="9"/>
        <v>1916.4798999999998</v>
      </c>
      <c r="I102" s="75">
        <f>2438.24394</f>
        <v>2438.2439399999998</v>
      </c>
      <c r="J102" s="240"/>
    </row>
    <row r="103" spans="1:10" ht="15.75" customHeight="1" x14ac:dyDescent="0.25">
      <c r="A103" s="1"/>
      <c r="B103" s="53"/>
      <c r="C103" s="73" t="s">
        <v>34</v>
      </c>
      <c r="D103" s="89">
        <v>320</v>
      </c>
      <c r="E103" s="89">
        <v>320</v>
      </c>
      <c r="F103" s="98">
        <f>0.17465</f>
        <v>0.17465</v>
      </c>
      <c r="G103" s="98">
        <f>17.70051</f>
        <v>17.700510000000001</v>
      </c>
      <c r="H103" s="98">
        <f t="shared" si="9"/>
        <v>302.29948999999999</v>
      </c>
      <c r="I103" s="98">
        <f>28.86651</f>
        <v>28.866510000000002</v>
      </c>
      <c r="J103" s="240"/>
    </row>
    <row r="104" spans="1:10" ht="18" customHeight="1" x14ac:dyDescent="0.25">
      <c r="A104" s="1"/>
      <c r="B104" s="250"/>
      <c r="C104" s="73" t="s">
        <v>55</v>
      </c>
      <c r="D104" s="143">
        <v>300</v>
      </c>
      <c r="E104" s="143">
        <v>300</v>
      </c>
      <c r="F104" s="139">
        <f>1.05285</f>
        <v>1.0528500000000001</v>
      </c>
      <c r="G104" s="139">
        <v>300</v>
      </c>
      <c r="H104" s="139">
        <f t="shared" si="9"/>
        <v>0</v>
      </c>
      <c r="I104" s="139">
        <v>300</v>
      </c>
      <c r="J104" s="240"/>
    </row>
    <row r="105" spans="1:10" ht="16.5" customHeight="1" x14ac:dyDescent="0.25">
      <c r="A105" s="1"/>
      <c r="B105" s="250"/>
      <c r="C105" s="93" t="s">
        <v>38</v>
      </c>
      <c r="D105" s="143">
        <v>50</v>
      </c>
      <c r="E105" s="143">
        <v>50</v>
      </c>
      <c r="F105" s="98">
        <f>2.272</f>
        <v>2.2719999999999998</v>
      </c>
      <c r="G105" s="98">
        <f>21.67906</f>
        <v>21.67906</v>
      </c>
      <c r="H105" s="139">
        <f>E105-G105</f>
        <v>28.32094</v>
      </c>
      <c r="I105" s="98">
        <f>8.0443</f>
        <v>8.0442999999999998</v>
      </c>
      <c r="J105" s="240"/>
    </row>
    <row r="106" spans="1:10" ht="18" customHeight="1" x14ac:dyDescent="0.25">
      <c r="A106" s="1"/>
      <c r="B106" s="250"/>
      <c r="C106" s="93" t="s">
        <v>56</v>
      </c>
      <c r="D106" s="143"/>
      <c r="E106" s="139"/>
      <c r="F106" s="139">
        <f>0</f>
        <v>0</v>
      </c>
      <c r="G106" s="139">
        <f>105.0276</f>
        <v>105.02760000000001</v>
      </c>
      <c r="H106" s="139">
        <f t="shared" ref="H106" si="10">E106-G106</f>
        <v>-105.02760000000001</v>
      </c>
      <c r="I106" s="139">
        <f>15.5068</f>
        <v>15.5068</v>
      </c>
      <c r="J106" s="240"/>
    </row>
    <row r="107" spans="1:10" ht="16.5" customHeight="1" x14ac:dyDescent="0.25">
      <c r="A107" s="1"/>
      <c r="B107" s="250"/>
      <c r="C107" s="74" t="s">
        <v>41</v>
      </c>
      <c r="D107" s="76">
        <f>D92+D95+D103+D104+D105+D106</f>
        <v>86556</v>
      </c>
      <c r="E107" s="76">
        <f t="shared" ref="E107:I107" si="11">E92+E95+E103+E104+E105+E106</f>
        <v>94969</v>
      </c>
      <c r="F107" s="76">
        <f t="shared" si="11"/>
        <v>401.37029999999987</v>
      </c>
      <c r="G107" s="76">
        <f t="shared" si="11"/>
        <v>87356.29316999999</v>
      </c>
      <c r="H107" s="76">
        <f t="shared" si="11"/>
        <v>7612.7068299999992</v>
      </c>
      <c r="I107" s="76">
        <f t="shared" si="11"/>
        <v>84185.801730000007</v>
      </c>
      <c r="J107" s="240"/>
    </row>
    <row r="108" spans="1:10" ht="13.5" customHeight="1" x14ac:dyDescent="0.25">
      <c r="A108" s="1"/>
      <c r="B108" s="250"/>
      <c r="C108" s="77" t="s">
        <v>125</v>
      </c>
      <c r="D108" s="100"/>
      <c r="E108" s="100"/>
      <c r="F108" s="102"/>
      <c r="G108" s="102"/>
      <c r="H108" s="104"/>
      <c r="I108" s="224"/>
      <c r="J108" s="240"/>
    </row>
    <row r="109" spans="1:10" ht="13.5" customHeight="1" x14ac:dyDescent="0.25">
      <c r="A109" s="1"/>
      <c r="B109" s="24"/>
      <c r="C109" s="161" t="s">
        <v>147</v>
      </c>
      <c r="D109" s="254"/>
      <c r="E109" s="254"/>
      <c r="F109" s="80"/>
      <c r="G109" s="80"/>
      <c r="H109" s="224"/>
      <c r="I109" s="224"/>
      <c r="J109" s="105"/>
    </row>
    <row r="110" spans="1:10" ht="15" customHeight="1" x14ac:dyDescent="0.25">
      <c r="A110" s="1"/>
      <c r="B110" s="24"/>
      <c r="C110" s="161" t="s">
        <v>124</v>
      </c>
      <c r="D110" s="254"/>
      <c r="E110" s="254"/>
      <c r="F110" s="80"/>
      <c r="G110" s="80"/>
      <c r="H110" s="224"/>
      <c r="I110" s="224"/>
      <c r="J110" s="105"/>
    </row>
    <row r="111" spans="1:10" ht="15" customHeight="1" x14ac:dyDescent="0.25">
      <c r="A111" s="1"/>
      <c r="B111" s="24"/>
      <c r="C111" s="224" t="s">
        <v>57</v>
      </c>
      <c r="D111" s="254"/>
      <c r="E111" s="254"/>
      <c r="F111" s="80"/>
      <c r="G111" s="80"/>
      <c r="H111" s="224"/>
      <c r="I111" s="224"/>
      <c r="J111" s="105"/>
    </row>
    <row r="112" spans="1:10" ht="12" customHeight="1" x14ac:dyDescent="0.2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25">
      <c r="A113" s="1"/>
      <c r="B113" s="101"/>
      <c r="C113" s="1" t="s">
        <v>119</v>
      </c>
      <c r="D113" s="224"/>
      <c r="E113" s="224"/>
      <c r="F113" s="224"/>
      <c r="G113" s="224"/>
      <c r="H113" s="224"/>
      <c r="I113" s="101"/>
      <c r="J113" s="101" t="s">
        <v>119</v>
      </c>
    </row>
    <row r="114" spans="1:10" ht="14.25" customHeight="1" x14ac:dyDescent="0.25">
      <c r="A114" s="1"/>
      <c r="B114" s="101"/>
      <c r="C114" s="101" t="s">
        <v>119</v>
      </c>
      <c r="D114" s="101" t="s">
        <v>119</v>
      </c>
      <c r="E114" s="101"/>
      <c r="F114" s="101"/>
      <c r="G114" s="101"/>
      <c r="H114" s="101"/>
      <c r="I114" s="101"/>
      <c r="J114" s="101" t="s">
        <v>119</v>
      </c>
    </row>
    <row r="115" spans="1:10" ht="17.100000000000001" customHeight="1" x14ac:dyDescent="0.25">
      <c r="A115" s="214"/>
      <c r="B115" s="214"/>
      <c r="C115" s="215" t="s">
        <v>58</v>
      </c>
      <c r="D115" s="214"/>
      <c r="E115" s="214"/>
      <c r="F115" s="214"/>
      <c r="G115" s="214"/>
      <c r="H115" s="214"/>
      <c r="I115" s="214"/>
      <c r="J115" s="214"/>
    </row>
    <row r="116" spans="1:10" ht="3" customHeight="1" x14ac:dyDescent="0.25">
      <c r="A116" s="214"/>
      <c r="B116" s="214"/>
      <c r="C116" s="215"/>
      <c r="D116" s="214"/>
      <c r="E116" s="214"/>
      <c r="F116" s="214"/>
      <c r="G116" s="214"/>
      <c r="H116" s="214"/>
      <c r="I116" s="214"/>
      <c r="J116" s="214"/>
    </row>
    <row r="117" spans="1:10" ht="14.1" customHeight="1" x14ac:dyDescent="0.2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2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0"/>
    </row>
    <row r="119" spans="1:10" ht="14.1" customHeight="1" x14ac:dyDescent="0.25">
      <c r="A119" s="1"/>
      <c r="B119" s="250"/>
      <c r="C119" s="115" t="s">
        <v>6</v>
      </c>
      <c r="D119" s="117">
        <v>212994</v>
      </c>
      <c r="E119" s="99" t="s">
        <v>4</v>
      </c>
      <c r="F119" s="114">
        <v>77294</v>
      </c>
      <c r="G119" s="115" t="s">
        <v>5</v>
      </c>
      <c r="H119" s="114">
        <v>8732</v>
      </c>
      <c r="I119" s="178"/>
      <c r="J119" s="240"/>
    </row>
    <row r="120" spans="1:10" ht="14.1" customHeight="1" x14ac:dyDescent="0.25">
      <c r="A120" s="1"/>
      <c r="B120" s="250"/>
      <c r="C120" s="115" t="s">
        <v>9</v>
      </c>
      <c r="D120" s="117">
        <v>12100</v>
      </c>
      <c r="E120" s="115" t="s">
        <v>7</v>
      </c>
      <c r="F120" s="117">
        <v>79383</v>
      </c>
      <c r="G120" s="115" t="s">
        <v>8</v>
      </c>
      <c r="H120" s="117">
        <v>59537</v>
      </c>
      <c r="I120" s="178"/>
      <c r="J120" s="240"/>
    </row>
    <row r="121" spans="1:10" ht="14.1" customHeight="1" x14ac:dyDescent="0.25">
      <c r="A121" s="1"/>
      <c r="B121" s="250"/>
      <c r="C121" s="244" t="s">
        <v>59</v>
      </c>
      <c r="D121" s="117">
        <v>1700</v>
      </c>
      <c r="E121" s="115" t="s">
        <v>60</v>
      </c>
      <c r="F121" s="117">
        <v>52226</v>
      </c>
      <c r="G121" s="115" t="s">
        <v>11</v>
      </c>
      <c r="H121" s="117">
        <v>11114</v>
      </c>
      <c r="I121" s="178"/>
      <c r="J121" s="240"/>
    </row>
    <row r="122" spans="1:10" ht="14.1" customHeight="1" x14ac:dyDescent="0.25">
      <c r="A122" s="1"/>
      <c r="B122" s="153"/>
      <c r="C122" s="165"/>
      <c r="D122" s="191"/>
      <c r="E122" s="191" t="s">
        <v>61</v>
      </c>
      <c r="F122" s="117">
        <v>4091</v>
      </c>
      <c r="G122" s="115"/>
      <c r="H122" s="165"/>
      <c r="I122" s="178"/>
      <c r="J122" s="240"/>
    </row>
    <row r="123" spans="1:10" ht="12" customHeight="1" x14ac:dyDescent="0.25">
      <c r="A123" s="1"/>
      <c r="B123" s="250"/>
      <c r="C123" s="177" t="s">
        <v>50</v>
      </c>
      <c r="D123" s="189">
        <v>226794</v>
      </c>
      <c r="E123" s="112" t="s">
        <v>14</v>
      </c>
      <c r="F123" s="189">
        <v>212994</v>
      </c>
      <c r="G123" s="177" t="s">
        <v>7</v>
      </c>
      <c r="H123" s="35">
        <v>79383</v>
      </c>
      <c r="I123" s="178"/>
      <c r="J123" s="240"/>
    </row>
    <row r="124" spans="1:10" ht="12" customHeight="1" x14ac:dyDescent="0.25">
      <c r="A124" s="101"/>
      <c r="B124" s="24"/>
      <c r="C124" s="101" t="s">
        <v>128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7"/>
      <c r="C125" s="268"/>
      <c r="D125" s="268"/>
      <c r="E125" s="229"/>
      <c r="F125" s="229"/>
      <c r="G125" s="229"/>
      <c r="H125" s="229"/>
      <c r="I125" s="229"/>
      <c r="J125" s="241"/>
    </row>
    <row r="126" spans="1:10" ht="25.5" customHeight="1" x14ac:dyDescent="0.25">
      <c r="A126" s="1"/>
      <c r="B126" s="250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25">
      <c r="A127" s="156"/>
      <c r="B127" s="52"/>
      <c r="C127" s="260" t="s">
        <v>16</v>
      </c>
      <c r="D127" s="15" t="s">
        <v>17</v>
      </c>
      <c r="E127" s="15" t="s">
        <v>62</v>
      </c>
      <c r="F127" s="15" t="s">
        <v>142</v>
      </c>
      <c r="G127" s="15" t="s">
        <v>143</v>
      </c>
      <c r="H127" s="15" t="s">
        <v>144</v>
      </c>
      <c r="I127" s="15" t="s">
        <v>145</v>
      </c>
      <c r="J127" s="276"/>
    </row>
    <row r="128" spans="1:10" ht="14.1" customHeight="1" x14ac:dyDescent="0.25">
      <c r="A128" s="1"/>
      <c r="B128" s="250"/>
      <c r="C128" s="16" t="s">
        <v>63</v>
      </c>
      <c r="D128" s="28">
        <v>77294</v>
      </c>
      <c r="E128" s="28">
        <v>71094</v>
      </c>
      <c r="F128" s="11">
        <f t="shared" ref="F128:I128" si="12">F129+F130+F131</f>
        <v>148.34556000000001</v>
      </c>
      <c r="G128" s="11">
        <f t="shared" si="12"/>
        <v>71343.458899999998</v>
      </c>
      <c r="H128" s="11">
        <f t="shared" si="12"/>
        <v>-249.45889999999719</v>
      </c>
      <c r="I128" s="11">
        <f t="shared" si="12"/>
        <v>65434.038140000004</v>
      </c>
      <c r="J128" s="240"/>
    </row>
    <row r="129" spans="1:10" ht="14.1" customHeight="1" x14ac:dyDescent="0.25">
      <c r="A129" s="1"/>
      <c r="B129" s="250"/>
      <c r="C129" s="44" t="s">
        <v>20</v>
      </c>
      <c r="D129" s="45">
        <v>61835</v>
      </c>
      <c r="E129" s="45">
        <v>56661</v>
      </c>
      <c r="F129" s="23">
        <f>148.34556</f>
        <v>148.34556000000001</v>
      </c>
      <c r="G129" s="23">
        <f>60917.67406</f>
        <v>60917.674059999998</v>
      </c>
      <c r="H129" s="23">
        <f>E129-G129</f>
        <v>-4256.6740599999976</v>
      </c>
      <c r="I129" s="23">
        <f>55627.0736299999</f>
        <v>55627.073629999999</v>
      </c>
      <c r="J129" s="240"/>
    </row>
    <row r="130" spans="1:10" ht="15" customHeight="1" x14ac:dyDescent="0.25">
      <c r="A130" s="1"/>
      <c r="B130" s="250"/>
      <c r="C130" s="44" t="s">
        <v>21</v>
      </c>
      <c r="D130" s="45">
        <v>14959</v>
      </c>
      <c r="E130" s="45">
        <v>13933</v>
      </c>
      <c r="F130" s="23">
        <f>0</f>
        <v>0</v>
      </c>
      <c r="G130" s="23">
        <f>10270.49879</f>
        <v>10270.49879</v>
      </c>
      <c r="H130" s="23">
        <f>E130-G130</f>
        <v>3662.5012100000004</v>
      </c>
      <c r="I130" s="23">
        <f>9538.81651</f>
        <v>9538.8165100000006</v>
      </c>
      <c r="J130" s="240"/>
    </row>
    <row r="131" spans="1:10" ht="13.5" customHeight="1" x14ac:dyDescent="0.25">
      <c r="A131" s="1"/>
      <c r="B131" s="250"/>
      <c r="C131" s="48" t="s">
        <v>64</v>
      </c>
      <c r="D131" s="33">
        <v>500</v>
      </c>
      <c r="E131" s="33">
        <v>500</v>
      </c>
      <c r="F131" s="23">
        <f>0</f>
        <v>0</v>
      </c>
      <c r="G131" s="23">
        <f>155.28605</f>
        <v>155.28604999999999</v>
      </c>
      <c r="H131" s="55">
        <f>E131-G131</f>
        <v>344.71395000000001</v>
      </c>
      <c r="I131" s="23">
        <f>268.148</f>
        <v>268.14800000000002</v>
      </c>
      <c r="J131" s="240"/>
    </row>
    <row r="132" spans="1:10" ht="14.25" customHeight="1" x14ac:dyDescent="0.25">
      <c r="A132" s="67"/>
      <c r="B132" s="78"/>
      <c r="C132" s="88" t="s">
        <v>65</v>
      </c>
      <c r="D132" s="91">
        <v>52226</v>
      </c>
      <c r="E132" s="91">
        <v>49440</v>
      </c>
      <c r="F132" s="95">
        <f>0.034</f>
        <v>3.4000000000000002E-2</v>
      </c>
      <c r="G132" s="95">
        <f>39024.36618+9611.302905</f>
        <v>48635.669085000001</v>
      </c>
      <c r="H132" s="95">
        <f>E132-G132</f>
        <v>804.33091499999864</v>
      </c>
      <c r="I132" s="95">
        <f>40914.19243</f>
        <v>40914.192430000003</v>
      </c>
      <c r="J132" s="116"/>
    </row>
    <row r="133" spans="1:10" ht="15.75" customHeight="1" x14ac:dyDescent="0.25">
      <c r="A133" s="1"/>
      <c r="B133" s="250"/>
      <c r="C133" s="142" t="s">
        <v>22</v>
      </c>
      <c r="D133" s="143">
        <v>80892</v>
      </c>
      <c r="E133" s="143">
        <v>80421</v>
      </c>
      <c r="F133" s="94">
        <f>F134+F139+F142</f>
        <v>2345.4283599999999</v>
      </c>
      <c r="G133" s="94">
        <f t="shared" ref="G133" si="13">G134+G139+G142</f>
        <v>76622.618914999999</v>
      </c>
      <c r="H133" s="94">
        <f>H134+H139+H142</f>
        <v>3798.3810850000009</v>
      </c>
      <c r="I133" s="94">
        <f>I134+I139+I142</f>
        <v>79885.824649999995</v>
      </c>
      <c r="J133" s="120"/>
    </row>
    <row r="134" spans="1:10" ht="14.1" customHeight="1" x14ac:dyDescent="0.25">
      <c r="A134" s="1"/>
      <c r="B134" s="52"/>
      <c r="C134" s="121" t="s">
        <v>66</v>
      </c>
      <c r="D134" s="122">
        <v>61046</v>
      </c>
      <c r="E134" s="122">
        <v>59080</v>
      </c>
      <c r="F134" s="125">
        <f>F135+F136+F137+F138</f>
        <v>2038.36014</v>
      </c>
      <c r="G134" s="125">
        <f>G135+G136+G138+G137</f>
        <v>59187.858665</v>
      </c>
      <c r="H134" s="125">
        <f>H135+H136+H137+H138</f>
        <v>-107.85866499999975</v>
      </c>
      <c r="I134" s="125">
        <f>I135+I136+I137+I138</f>
        <v>63324.35729</v>
      </c>
      <c r="J134" s="276"/>
    </row>
    <row r="135" spans="1:10" ht="14.1" customHeight="1" x14ac:dyDescent="0.25">
      <c r="A135" s="197"/>
      <c r="B135" s="126"/>
      <c r="C135" s="62" t="s">
        <v>24</v>
      </c>
      <c r="D135" s="63">
        <v>16203</v>
      </c>
      <c r="E135" s="63">
        <v>17601</v>
      </c>
      <c r="F135" s="127">
        <f>338.66576</f>
        <v>338.66575999999998</v>
      </c>
      <c r="G135" s="127">
        <v>12670.9061</v>
      </c>
      <c r="H135" s="127">
        <f>E135-G135</f>
        <v>4930.0938999999998</v>
      </c>
      <c r="I135" s="127">
        <f>11679.48669</f>
        <v>11679.48669</v>
      </c>
      <c r="J135" s="128"/>
    </row>
    <row r="136" spans="1:10" ht="14.1" customHeight="1" x14ac:dyDescent="0.25">
      <c r="A136" s="197"/>
      <c r="B136" s="182"/>
      <c r="C136" s="62" t="s">
        <v>52</v>
      </c>
      <c r="D136" s="63">
        <v>16593</v>
      </c>
      <c r="E136" s="63">
        <v>15181</v>
      </c>
      <c r="F136" s="127">
        <f>692.18373</f>
        <v>692.18372999999997</v>
      </c>
      <c r="G136" s="127">
        <v>18402.443465</v>
      </c>
      <c r="H136" s="127">
        <f>E136-G136</f>
        <v>-3221.4434650000003</v>
      </c>
      <c r="I136" s="127">
        <f>15042.6761</f>
        <v>15042.676100000001</v>
      </c>
      <c r="J136" s="129"/>
    </row>
    <row r="137" spans="1:10" ht="14.1" customHeight="1" x14ac:dyDescent="0.25">
      <c r="A137" s="197"/>
      <c r="B137" s="182"/>
      <c r="C137" s="62" t="s">
        <v>53</v>
      </c>
      <c r="D137" s="63">
        <v>15164</v>
      </c>
      <c r="E137" s="63">
        <v>14325</v>
      </c>
      <c r="F137" s="127">
        <f>619.49545</f>
        <v>619.49545000000001</v>
      </c>
      <c r="G137" s="127">
        <v>16007.620490000001</v>
      </c>
      <c r="H137" s="127">
        <f>E137-G137</f>
        <v>-1682.6204900000012</v>
      </c>
      <c r="I137" s="127">
        <f>19806.78375</f>
        <v>19806.783749999999</v>
      </c>
      <c r="J137" s="129"/>
    </row>
    <row r="138" spans="1:10" ht="14.1" customHeight="1" x14ac:dyDescent="0.25">
      <c r="A138" s="197"/>
      <c r="B138" s="182"/>
      <c r="C138" s="62" t="s">
        <v>27</v>
      </c>
      <c r="D138" s="63">
        <v>13085</v>
      </c>
      <c r="E138" s="63">
        <v>11973</v>
      </c>
      <c r="F138" s="127">
        <f>388.0152</f>
        <v>388.01519999999999</v>
      </c>
      <c r="G138" s="127">
        <v>12106.888609999998</v>
      </c>
      <c r="H138" s="127">
        <f>E138-G138</f>
        <v>-133.88860999999815</v>
      </c>
      <c r="I138" s="127">
        <f>16795.41075</f>
        <v>16795.410749999999</v>
      </c>
      <c r="J138" s="129"/>
    </row>
    <row r="139" spans="1:10" ht="14.1" customHeight="1" x14ac:dyDescent="0.25">
      <c r="A139" s="66"/>
      <c r="B139" s="53"/>
      <c r="C139" s="56" t="s">
        <v>29</v>
      </c>
      <c r="D139" s="58">
        <v>8732</v>
      </c>
      <c r="E139" s="58">
        <v>9267</v>
      </c>
      <c r="F139" s="132">
        <f>SUM(F140:F141)</f>
        <v>167.97774000000001</v>
      </c>
      <c r="G139" s="132">
        <f>SUM(G140:G141)</f>
        <v>8499.7791899999993</v>
      </c>
      <c r="H139" s="132">
        <f>H140+H141</f>
        <v>767.22081000000094</v>
      </c>
      <c r="I139" s="132">
        <f>SUM(I140:I141)</f>
        <v>7339.5028599999996</v>
      </c>
      <c r="J139" s="133"/>
    </row>
    <row r="140" spans="1:10" ht="14.1" customHeight="1" x14ac:dyDescent="0.25">
      <c r="A140" s="1"/>
      <c r="B140" s="250"/>
      <c r="C140" s="62" t="s">
        <v>67</v>
      </c>
      <c r="D140" s="63">
        <v>8232</v>
      </c>
      <c r="E140" s="63">
        <v>8767</v>
      </c>
      <c r="F140" s="127">
        <f>167.92644</f>
        <v>167.92644000000001</v>
      </c>
      <c r="G140" s="127">
        <f>8214.91183</f>
        <v>8214.9118299999991</v>
      </c>
      <c r="H140" s="127">
        <f t="shared" ref="H140:H148" si="14">E140-G140</f>
        <v>552.0881700000009</v>
      </c>
      <c r="I140" s="127">
        <f>6994.73031</f>
        <v>6994.7303099999999</v>
      </c>
      <c r="J140" s="120"/>
    </row>
    <row r="141" spans="1:10" ht="15" customHeight="1" x14ac:dyDescent="0.25">
      <c r="A141" s="1"/>
      <c r="B141" s="53"/>
      <c r="C141" s="62" t="s">
        <v>68</v>
      </c>
      <c r="D141" s="63">
        <v>500</v>
      </c>
      <c r="E141" s="63">
        <v>500</v>
      </c>
      <c r="F141" s="127">
        <f>0.0513</f>
        <v>5.1299999999999998E-2</v>
      </c>
      <c r="G141" s="127">
        <f>284.86736</f>
        <v>284.86736000000002</v>
      </c>
      <c r="H141" s="127">
        <f t="shared" si="14"/>
        <v>215.13263999999998</v>
      </c>
      <c r="I141" s="127">
        <f>344.77255</f>
        <v>344.77255000000002</v>
      </c>
      <c r="J141" s="134"/>
    </row>
    <row r="142" spans="1:10" ht="15.75" customHeight="1" x14ac:dyDescent="0.25">
      <c r="A142" s="1"/>
      <c r="B142" s="250"/>
      <c r="C142" s="38" t="s">
        <v>11</v>
      </c>
      <c r="D142" s="61">
        <v>11114</v>
      </c>
      <c r="E142" s="61">
        <v>12074</v>
      </c>
      <c r="F142" s="75">
        <f>139.09048</f>
        <v>139.09048000000001</v>
      </c>
      <c r="G142" s="75">
        <f>8934.98106</f>
        <v>8934.9810600000001</v>
      </c>
      <c r="H142" s="75">
        <f t="shared" si="14"/>
        <v>3139.0189399999999</v>
      </c>
      <c r="I142" s="75">
        <f>9221.9645</f>
        <v>9221.9645</v>
      </c>
      <c r="J142" s="120"/>
    </row>
    <row r="143" spans="1:10" ht="15.75" customHeight="1" x14ac:dyDescent="0.25">
      <c r="A143" s="1"/>
      <c r="B143" s="250"/>
      <c r="C143" s="142" t="s">
        <v>34</v>
      </c>
      <c r="D143" s="143">
        <v>137</v>
      </c>
      <c r="E143" s="143">
        <v>137</v>
      </c>
      <c r="F143" s="139">
        <f>0.14715</f>
        <v>0.14715</v>
      </c>
      <c r="G143" s="139">
        <f>34.62313</f>
        <v>34.623130000000003</v>
      </c>
      <c r="H143" s="139">
        <f t="shared" si="14"/>
        <v>102.37687</v>
      </c>
      <c r="I143" s="139">
        <f>28.81725</f>
        <v>28.817250000000001</v>
      </c>
      <c r="J143" s="120"/>
    </row>
    <row r="144" spans="1:10" ht="15.75" customHeight="1" x14ac:dyDescent="0.25">
      <c r="A144" s="1"/>
      <c r="B144" s="250"/>
      <c r="C144" s="140" t="s">
        <v>69</v>
      </c>
      <c r="D144" s="89">
        <v>250</v>
      </c>
      <c r="E144" s="89">
        <v>250</v>
      </c>
      <c r="F144" s="98">
        <f>0</f>
        <v>0</v>
      </c>
      <c r="G144" s="98">
        <f>262.581</f>
        <v>262.58100000000002</v>
      </c>
      <c r="H144" s="98">
        <f t="shared" si="14"/>
        <v>-12.581000000000017</v>
      </c>
      <c r="I144" s="98">
        <f>307.078</f>
        <v>307.07799999999997</v>
      </c>
      <c r="J144" s="120"/>
    </row>
    <row r="145" spans="1:10" ht="18" customHeight="1" x14ac:dyDescent="0.25">
      <c r="A145" s="1"/>
      <c r="B145" s="250"/>
      <c r="C145" s="140" t="s">
        <v>70</v>
      </c>
      <c r="D145" s="143">
        <v>2000</v>
      </c>
      <c r="E145" s="143">
        <v>2000</v>
      </c>
      <c r="F145" s="139">
        <f>3.1951</f>
        <v>3.1951000000000001</v>
      </c>
      <c r="G145" s="139">
        <v>2000</v>
      </c>
      <c r="H145" s="139">
        <f t="shared" si="14"/>
        <v>0</v>
      </c>
      <c r="I145" s="139">
        <v>2000</v>
      </c>
      <c r="J145" s="240"/>
    </row>
    <row r="146" spans="1:10" ht="15.75" customHeight="1" x14ac:dyDescent="0.25">
      <c r="A146" s="1"/>
      <c r="B146" s="250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4"/>
        <v>0</v>
      </c>
      <c r="I146" s="139"/>
      <c r="J146" s="120"/>
    </row>
    <row r="147" spans="1:10" ht="15.75" customHeight="1" x14ac:dyDescent="0.25">
      <c r="A147" s="1"/>
      <c r="B147" s="250"/>
      <c r="C147" s="142" t="s">
        <v>71</v>
      </c>
      <c r="D147" s="143">
        <v>195</v>
      </c>
      <c r="E147" s="143">
        <v>195</v>
      </c>
      <c r="F147" s="98">
        <f>4.478</f>
        <v>4.4779999999999998</v>
      </c>
      <c r="G147" s="98">
        <f>48.88701</f>
        <v>48.887009999999997</v>
      </c>
      <c r="H147" s="139">
        <f t="shared" si="14"/>
        <v>146.11299</v>
      </c>
      <c r="I147" s="98">
        <f>7.19905</f>
        <v>7.1990499999999997</v>
      </c>
      <c r="J147" s="120"/>
    </row>
    <row r="148" spans="1:10" ht="15" customHeight="1" x14ac:dyDescent="0.25">
      <c r="A148" s="1"/>
      <c r="B148" s="250"/>
      <c r="C148" s="142" t="s">
        <v>40</v>
      </c>
      <c r="D148" s="145"/>
      <c r="E148" s="143"/>
      <c r="F148" s="139">
        <f>0</f>
        <v>0</v>
      </c>
      <c r="G148" s="139">
        <f>627.84246</f>
        <v>627.84245999999996</v>
      </c>
      <c r="H148" s="139">
        <f t="shared" si="14"/>
        <v>-627.84245999999996</v>
      </c>
      <c r="I148" s="139">
        <f>563.7688</f>
        <v>563.76880000000006</v>
      </c>
      <c r="J148" s="120"/>
    </row>
    <row r="149" spans="1:10" ht="0" hidden="1" customHeight="1" x14ac:dyDescent="0.2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25">
      <c r="A150" s="156"/>
      <c r="B150" s="52"/>
      <c r="C150" s="158" t="s">
        <v>41</v>
      </c>
      <c r="D150" s="76">
        <f t="shared" ref="D150:E150" si="15">D128+D132+D133+D143+D144+D145+D146+D147+D148</f>
        <v>212994</v>
      </c>
      <c r="E150" s="76">
        <f t="shared" si="15"/>
        <v>203537</v>
      </c>
      <c r="F150" s="76">
        <f>F128+F132+F133+F143+F144+F145+F146+F147+F148</f>
        <v>2501.6281699999995</v>
      </c>
      <c r="G150" s="76">
        <f>G128+G132+G133+G143+G144+G145+G146+G147+G148</f>
        <v>199575.68050000002</v>
      </c>
      <c r="H150" s="76">
        <f>H128+H132+H133+H143+H144+H145+H146+H147+H148</f>
        <v>3961.3195000000023</v>
      </c>
      <c r="I150" s="76">
        <f>I128+I132+I133+I143+I144+I145+I146+I147+I148</f>
        <v>189140.91832</v>
      </c>
      <c r="J150" s="160"/>
    </row>
    <row r="151" spans="1:10" ht="14.25" customHeight="1" x14ac:dyDescent="0.25">
      <c r="A151" s="156"/>
      <c r="B151" s="52"/>
      <c r="C151" s="161" t="s">
        <v>72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25">
      <c r="A152" s="156"/>
      <c r="B152" s="52"/>
      <c r="C152" s="101" t="s">
        <v>129</v>
      </c>
      <c r="D152" s="119"/>
      <c r="E152" s="119"/>
      <c r="F152" s="119"/>
      <c r="G152" s="119"/>
      <c r="H152" s="163"/>
      <c r="I152" s="156"/>
      <c r="J152" s="276"/>
    </row>
    <row r="153" spans="1:10" ht="14.25" customHeight="1" x14ac:dyDescent="0.25">
      <c r="A153" s="156"/>
      <c r="B153" s="52"/>
      <c r="C153" s="161" t="s">
        <v>149</v>
      </c>
      <c r="D153" s="119"/>
      <c r="E153" s="119"/>
      <c r="F153" s="119"/>
      <c r="G153" s="119"/>
      <c r="H153" s="163"/>
      <c r="I153" s="156"/>
      <c r="J153" s="276"/>
    </row>
    <row r="154" spans="1:10" ht="14.25" customHeight="1" x14ac:dyDescent="0.25">
      <c r="A154" s="156"/>
      <c r="B154" s="52"/>
      <c r="C154" s="77" t="s">
        <v>148</v>
      </c>
      <c r="D154" s="119"/>
      <c r="E154" s="119"/>
      <c r="F154" s="119"/>
      <c r="G154" s="119"/>
      <c r="H154" s="163"/>
      <c r="I154" s="163"/>
      <c r="J154" s="276"/>
    </row>
    <row r="155" spans="1:10" ht="15.75" customHeight="1" x14ac:dyDescent="0.25">
      <c r="A155" s="156"/>
      <c r="B155" s="52"/>
      <c r="C155" s="161" t="s">
        <v>73</v>
      </c>
      <c r="D155" s="119"/>
      <c r="E155" s="119"/>
      <c r="F155" s="119"/>
      <c r="G155" s="119"/>
      <c r="H155" s="163"/>
      <c r="I155" s="163"/>
      <c r="J155" s="276"/>
    </row>
    <row r="156" spans="1:10" ht="15.75" customHeight="1" x14ac:dyDescent="0.25">
      <c r="A156" s="156"/>
      <c r="B156" s="52"/>
      <c r="C156" s="77" t="s">
        <v>130</v>
      </c>
      <c r="D156" s="119"/>
      <c r="E156" s="119"/>
      <c r="F156" s="119"/>
      <c r="G156" s="119"/>
      <c r="H156" s="163"/>
      <c r="I156" s="163"/>
      <c r="J156" s="276"/>
    </row>
    <row r="157" spans="1:10" ht="12" customHeight="1" x14ac:dyDescent="0.2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2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2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2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2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25">
      <c r="A162" s="1" t="s">
        <v>119</v>
      </c>
      <c r="B162" s="2"/>
      <c r="C162" s="215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5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119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" customHeight="1" x14ac:dyDescent="0.25">
      <c r="A165" s="1" t="s">
        <v>119</v>
      </c>
      <c r="B165" s="250"/>
      <c r="C165" s="149" t="s">
        <v>1</v>
      </c>
      <c r="D165" s="185"/>
      <c r="E165" s="277"/>
      <c r="F165" s="277"/>
      <c r="G165" s="277"/>
      <c r="H165" s="1"/>
      <c r="I165" s="1"/>
      <c r="J165" s="120"/>
    </row>
    <row r="166" spans="1:10" ht="14.1" customHeight="1" x14ac:dyDescent="0.25">
      <c r="A166" s="1"/>
      <c r="B166" s="250"/>
      <c r="C166" s="177" t="s">
        <v>6</v>
      </c>
      <c r="D166" s="189">
        <v>12735</v>
      </c>
      <c r="E166" s="277"/>
      <c r="F166" s="277"/>
      <c r="G166" s="277"/>
      <c r="H166" s="1"/>
      <c r="I166" s="1"/>
      <c r="J166" s="120"/>
    </row>
    <row r="167" spans="1:10" ht="14.1" customHeight="1" x14ac:dyDescent="0.25">
      <c r="A167" s="1"/>
      <c r="B167" s="250"/>
      <c r="C167" s="177" t="s">
        <v>9</v>
      </c>
      <c r="D167" s="189">
        <v>11325</v>
      </c>
      <c r="E167" s="277"/>
      <c r="F167" s="277"/>
      <c r="G167" s="231"/>
      <c r="H167" s="1"/>
      <c r="I167" s="1"/>
      <c r="J167" s="120"/>
    </row>
    <row r="168" spans="1:10" ht="14.1" customHeight="1" x14ac:dyDescent="0.25">
      <c r="A168" s="1"/>
      <c r="B168" s="250"/>
      <c r="C168" s="177" t="s">
        <v>75</v>
      </c>
      <c r="D168" s="189">
        <v>940</v>
      </c>
      <c r="E168" s="277"/>
      <c r="F168" s="277"/>
      <c r="G168" s="277"/>
      <c r="H168" s="1"/>
      <c r="I168" s="1"/>
      <c r="J168" s="120"/>
    </row>
    <row r="169" spans="1:10" ht="14.1" customHeight="1" x14ac:dyDescent="0.25">
      <c r="A169" s="1"/>
      <c r="B169" s="250"/>
      <c r="C169" s="177" t="s">
        <v>50</v>
      </c>
      <c r="D169" s="189">
        <v>25000</v>
      </c>
      <c r="E169" s="277"/>
      <c r="F169" s="277"/>
      <c r="G169" s="277"/>
      <c r="H169" s="1"/>
      <c r="I169" s="1"/>
      <c r="J169" s="120"/>
    </row>
    <row r="170" spans="1:10" ht="14.1" customHeight="1" x14ac:dyDescent="0.25">
      <c r="A170" s="1"/>
      <c r="B170" s="250"/>
      <c r="C170" s="1"/>
      <c r="D170" s="47"/>
      <c r="E170" s="277"/>
      <c r="F170" s="277"/>
      <c r="G170" s="277"/>
      <c r="H170" s="1"/>
      <c r="I170" s="1"/>
      <c r="J170" s="120"/>
    </row>
    <row r="171" spans="1:10" ht="3.75" customHeight="1" x14ac:dyDescent="0.25">
      <c r="A171" s="1"/>
      <c r="B171" s="237"/>
      <c r="C171" s="159"/>
      <c r="D171" s="159"/>
      <c r="E171" s="263"/>
      <c r="F171" s="263"/>
      <c r="G171" s="263"/>
      <c r="H171" s="229"/>
      <c r="I171" s="229"/>
      <c r="J171" s="241"/>
    </row>
    <row r="172" spans="1:10" ht="24.75" customHeight="1" x14ac:dyDescent="0.25">
      <c r="A172" s="1"/>
      <c r="B172" s="250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25">
      <c r="A173" s="1"/>
      <c r="B173" s="198"/>
      <c r="C173" s="220"/>
      <c r="D173" s="220"/>
      <c r="E173" s="220"/>
      <c r="F173" s="220"/>
      <c r="G173" s="220"/>
      <c r="H173" s="220"/>
      <c r="I173" s="220"/>
      <c r="J173" s="13"/>
    </row>
    <row r="174" spans="1:10" ht="61.5" customHeight="1" x14ac:dyDescent="0.25">
      <c r="A174" s="156"/>
      <c r="B174" s="52"/>
      <c r="C174" s="15" t="s">
        <v>16</v>
      </c>
      <c r="D174" s="175" t="s">
        <v>2</v>
      </c>
      <c r="E174" s="15" t="s">
        <v>142</v>
      </c>
      <c r="F174" s="15" t="s">
        <v>143</v>
      </c>
      <c r="G174" s="54" t="s">
        <v>144</v>
      </c>
      <c r="H174" s="15" t="s">
        <v>145</v>
      </c>
      <c r="I174" s="156"/>
      <c r="J174" s="276"/>
    </row>
    <row r="175" spans="1:10" ht="14.1" customHeight="1" x14ac:dyDescent="0.25">
      <c r="A175" s="1"/>
      <c r="B175" s="250"/>
      <c r="C175" s="141" t="s">
        <v>76</v>
      </c>
      <c r="D175" s="94">
        <v>4988</v>
      </c>
      <c r="E175" s="272">
        <f>35.48565</f>
        <v>35.48565</v>
      </c>
      <c r="F175" s="272">
        <f>2362.75805</f>
        <v>2362.7580499999999</v>
      </c>
      <c r="G175" s="43">
        <f>D175-F175-F176</f>
        <v>578.15672000000018</v>
      </c>
      <c r="H175" s="272">
        <f>2242.3656</f>
        <v>2242.3656000000001</v>
      </c>
      <c r="I175" s="1"/>
      <c r="J175" s="120"/>
    </row>
    <row r="176" spans="1:10" ht="14.1" customHeight="1" x14ac:dyDescent="0.25">
      <c r="A176" s="1"/>
      <c r="B176" s="250"/>
      <c r="C176" s="137" t="s">
        <v>54</v>
      </c>
      <c r="D176" s="181"/>
      <c r="E176" s="152">
        <f>77.71634</f>
        <v>77.716340000000002</v>
      </c>
      <c r="F176" s="152">
        <f>2047.08523</f>
        <v>2047.0852299999999</v>
      </c>
      <c r="G176" s="213"/>
      <c r="H176" s="152">
        <f>1804.90561</f>
        <v>1804.90561</v>
      </c>
      <c r="I176" s="1"/>
      <c r="J176" s="120"/>
    </row>
    <row r="177" spans="1:10" ht="15.6" customHeight="1" x14ac:dyDescent="0.25">
      <c r="A177" s="1"/>
      <c r="B177" s="250"/>
      <c r="C177" s="169" t="s">
        <v>77</v>
      </c>
      <c r="D177" s="98">
        <v>200</v>
      </c>
      <c r="E177" s="172">
        <f>0.352</f>
        <v>0.35199999999999998</v>
      </c>
      <c r="F177" s="172">
        <f>78.08674</f>
        <v>78.086740000000006</v>
      </c>
      <c r="G177" s="172">
        <f>D177-F177</f>
        <v>121.91325999999999</v>
      </c>
      <c r="H177" s="172">
        <f>58.26762</f>
        <v>58.267620000000001</v>
      </c>
      <c r="I177" s="1"/>
      <c r="J177" s="120"/>
    </row>
    <row r="178" spans="1:10" ht="14.1" customHeight="1" x14ac:dyDescent="0.25">
      <c r="A178" s="67"/>
      <c r="B178" s="78"/>
      <c r="C178" s="180" t="s">
        <v>78</v>
      </c>
      <c r="D178" s="181">
        <v>7481</v>
      </c>
      <c r="E178" s="181">
        <f>E179+E180+E181</f>
        <v>0.45023999999999997</v>
      </c>
      <c r="F178" s="181">
        <f>F179+F180+F181</f>
        <v>8193.843069999999</v>
      </c>
      <c r="G178" s="181">
        <f>D178-F178</f>
        <v>-712.84306999999899</v>
      </c>
      <c r="H178" s="181">
        <f>H179+H180+H181</f>
        <v>7939.3013799999999</v>
      </c>
      <c r="I178" s="67"/>
      <c r="J178" s="116"/>
    </row>
    <row r="179" spans="1:10" ht="14.1" customHeight="1" x14ac:dyDescent="0.25">
      <c r="A179" s="197"/>
      <c r="B179" s="182"/>
      <c r="C179" s="183" t="s">
        <v>79</v>
      </c>
      <c r="D179" s="127"/>
      <c r="E179" s="127">
        <f>0.06888</f>
        <v>6.8879999999999997E-2</v>
      </c>
      <c r="F179" s="127">
        <f>4200.45475</f>
        <v>4200.4547499999999</v>
      </c>
      <c r="G179" s="127"/>
      <c r="H179" s="127">
        <f>3999.6714</f>
        <v>3999.6714000000002</v>
      </c>
      <c r="I179" s="186"/>
      <c r="J179" s="129"/>
    </row>
    <row r="180" spans="1:10" ht="14.1" customHeight="1" x14ac:dyDescent="0.25">
      <c r="A180" s="197"/>
      <c r="B180" s="182"/>
      <c r="C180" s="183" t="s">
        <v>80</v>
      </c>
      <c r="D180" s="127"/>
      <c r="E180" s="127">
        <f>0.21636</f>
        <v>0.21636</v>
      </c>
      <c r="F180" s="127">
        <f>2529.34703</f>
        <v>2529.3470299999999</v>
      </c>
      <c r="G180" s="127"/>
      <c r="H180" s="127">
        <f>2520.20519</f>
        <v>2520.2051900000001</v>
      </c>
      <c r="I180" s="186"/>
      <c r="J180" s="187"/>
    </row>
    <row r="181" spans="1:10" ht="14.1" customHeight="1" x14ac:dyDescent="0.25">
      <c r="A181" s="197"/>
      <c r="B181" s="182"/>
      <c r="C181" s="188" t="s">
        <v>81</v>
      </c>
      <c r="D181" s="192"/>
      <c r="E181" s="192">
        <f>0.165</f>
        <v>0.16500000000000001</v>
      </c>
      <c r="F181" s="192">
        <f>1464.04129</f>
        <v>1464.0412899999999</v>
      </c>
      <c r="G181" s="192"/>
      <c r="H181" s="192">
        <f>1419.42479</f>
        <v>1419.42479</v>
      </c>
      <c r="I181" s="186"/>
      <c r="J181" s="187"/>
    </row>
    <row r="182" spans="1:10" ht="14.1" customHeight="1" x14ac:dyDescent="0.25">
      <c r="A182" s="1"/>
      <c r="B182" s="250"/>
      <c r="C182" s="73" t="s">
        <v>82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0</f>
        <v>0</v>
      </c>
      <c r="I182" s="178"/>
      <c r="J182" s="240"/>
    </row>
    <row r="183" spans="1:10" ht="16.5" customHeight="1" x14ac:dyDescent="0.25">
      <c r="A183" s="1"/>
      <c r="B183" s="250"/>
      <c r="C183" s="93" t="s">
        <v>83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0"/>
    </row>
    <row r="184" spans="1:10" ht="19.350000000000001" customHeight="1" x14ac:dyDescent="0.25">
      <c r="A184" s="156"/>
      <c r="B184" s="52"/>
      <c r="C184" s="74" t="s">
        <v>41</v>
      </c>
      <c r="D184" s="194">
        <f>D175+D177+D178+D182</f>
        <v>12735</v>
      </c>
      <c r="E184" s="194">
        <f>E175+E176+E177+E178+E182+E183</f>
        <v>114.00422999999999</v>
      </c>
      <c r="F184" s="194">
        <f>F175+F176+F177+F178+F182+F183</f>
        <v>12681.773089999999</v>
      </c>
      <c r="G184" s="194">
        <f>D184-F184</f>
        <v>53.226910000001226</v>
      </c>
      <c r="H184" s="194">
        <f>H175+H176+H177+H178+H182+H183</f>
        <v>12044.840209999998</v>
      </c>
      <c r="I184" s="163"/>
      <c r="J184" s="160"/>
    </row>
    <row r="185" spans="1:10" ht="42" customHeight="1" x14ac:dyDescent="0.25">
      <c r="A185" s="1"/>
      <c r="B185" s="198"/>
      <c r="C185" s="223" t="s">
        <v>131</v>
      </c>
      <c r="D185" s="223"/>
      <c r="E185" s="223"/>
      <c r="F185" s="223"/>
      <c r="G185" s="223"/>
      <c r="H185" s="220"/>
      <c r="I185" s="220"/>
      <c r="J185" s="13"/>
    </row>
    <row r="186" spans="1:10" ht="12" customHeight="1" x14ac:dyDescent="0.25">
      <c r="A186" s="156" t="s">
        <v>119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2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25">
      <c r="A188" s="150" t="s">
        <v>119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35">
      <c r="A189" s="150"/>
      <c r="B189" s="1"/>
      <c r="C189" s="211" t="s">
        <v>84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35">
      <c r="A190" s="150" t="s">
        <v>119</v>
      </c>
      <c r="B190" s="1"/>
      <c r="C190" s="211"/>
      <c r="D190" s="170"/>
      <c r="E190" s="170"/>
      <c r="F190" s="170"/>
      <c r="G190" s="170"/>
      <c r="H190" s="1"/>
      <c r="I190" s="1"/>
      <c r="J190" s="1"/>
    </row>
    <row r="191" spans="1:10" ht="12" customHeight="1" x14ac:dyDescent="0.25">
      <c r="A191" s="150"/>
      <c r="B191" s="138"/>
      <c r="C191" s="222"/>
      <c r="D191" s="233"/>
      <c r="E191" s="233"/>
      <c r="F191" s="233"/>
      <c r="G191" s="233"/>
      <c r="H191" s="154"/>
      <c r="I191" s="154"/>
      <c r="J191" s="162"/>
    </row>
    <row r="192" spans="1:10" ht="15" customHeight="1" x14ac:dyDescent="0.25">
      <c r="A192" s="150"/>
      <c r="B192" s="250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25">
      <c r="A193" s="150"/>
      <c r="B193" s="250"/>
      <c r="C193" s="255" t="s">
        <v>85</v>
      </c>
      <c r="D193" s="266">
        <v>43981</v>
      </c>
      <c r="E193" s="150"/>
      <c r="F193" s="150"/>
      <c r="G193" s="170"/>
      <c r="H193" s="1"/>
      <c r="I193" s="1"/>
      <c r="J193" s="120"/>
    </row>
    <row r="194" spans="1:10" ht="15" customHeight="1" x14ac:dyDescent="0.25">
      <c r="A194" s="150"/>
      <c r="B194" s="250"/>
      <c r="C194" s="244" t="s">
        <v>86</v>
      </c>
      <c r="D194" s="46">
        <v>15120</v>
      </c>
      <c r="E194" s="150"/>
      <c r="F194" s="150"/>
      <c r="G194" s="170"/>
      <c r="H194" s="1"/>
      <c r="I194" s="1"/>
      <c r="J194" s="120"/>
    </row>
    <row r="195" spans="1:10" ht="18" customHeight="1" x14ac:dyDescent="0.25">
      <c r="A195" s="150"/>
      <c r="B195" s="250"/>
      <c r="C195" s="244" t="s">
        <v>87</v>
      </c>
      <c r="D195" s="46">
        <v>7678</v>
      </c>
      <c r="E195" s="150"/>
      <c r="F195" s="150"/>
      <c r="G195" s="170"/>
      <c r="H195" s="1"/>
      <c r="I195" s="1"/>
      <c r="J195" s="120"/>
    </row>
    <row r="196" spans="1:10" ht="11.25" customHeight="1" x14ac:dyDescent="0.25">
      <c r="A196" s="150"/>
      <c r="B196" s="250"/>
      <c r="C196" s="57" t="s">
        <v>50</v>
      </c>
      <c r="D196" s="35">
        <v>66779</v>
      </c>
      <c r="E196" s="150"/>
      <c r="F196" s="150"/>
      <c r="G196" s="170"/>
      <c r="H196" s="1"/>
      <c r="I196" s="1"/>
      <c r="J196" s="120"/>
    </row>
    <row r="197" spans="1:10" ht="12" customHeight="1" x14ac:dyDescent="0.25">
      <c r="A197" s="1"/>
      <c r="B197" s="250"/>
      <c r="C197" s="101" t="s">
        <v>132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25">
      <c r="A198" s="1"/>
      <c r="B198" s="250"/>
      <c r="C198" s="101" t="s">
        <v>133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25">
      <c r="A199" s="1"/>
      <c r="B199" s="250"/>
      <c r="C199" s="101" t="s">
        <v>134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25">
      <c r="A200" s="1"/>
      <c r="B200" s="237"/>
      <c r="C200" s="263"/>
      <c r="D200" s="159"/>
      <c r="E200" s="159"/>
      <c r="F200" s="263"/>
      <c r="G200" s="263"/>
      <c r="H200" s="263"/>
      <c r="I200" s="229"/>
      <c r="J200" s="241"/>
    </row>
    <row r="201" spans="1:10" ht="23.25" customHeight="1" x14ac:dyDescent="0.25">
      <c r="A201" s="1"/>
      <c r="B201" s="250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25">
      <c r="A202" s="1"/>
      <c r="B202" s="250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25">
      <c r="A203" s="1"/>
      <c r="B203" s="250"/>
      <c r="C203" s="68" t="s">
        <v>16</v>
      </c>
      <c r="D203" s="79" t="s">
        <v>2</v>
      </c>
      <c r="E203" s="68" t="s">
        <v>142</v>
      </c>
      <c r="F203" s="68" t="s">
        <v>143</v>
      </c>
      <c r="G203" s="68" t="s">
        <v>144</v>
      </c>
      <c r="H203" s="68" t="s">
        <v>145</v>
      </c>
      <c r="I203" s="1"/>
      <c r="J203" s="120"/>
    </row>
    <row r="204" spans="1:10" ht="15" customHeight="1" x14ac:dyDescent="0.25">
      <c r="A204" s="1"/>
      <c r="B204" s="250"/>
      <c r="C204" s="90" t="s">
        <v>4</v>
      </c>
      <c r="D204" s="124">
        <v>43839</v>
      </c>
      <c r="E204" s="124">
        <f>144.42366</f>
        <v>144.42366000000001</v>
      </c>
      <c r="F204" s="124">
        <f>42562.03361</f>
        <v>42562.033609999999</v>
      </c>
      <c r="G204" s="124">
        <f>D204-F204</f>
        <v>1276.9663900000014</v>
      </c>
      <c r="H204" s="124">
        <f>39261.01835</f>
        <v>39261.018349999998</v>
      </c>
      <c r="I204" s="244"/>
      <c r="J204" s="120"/>
    </row>
    <row r="205" spans="1:10" ht="15" customHeight="1" x14ac:dyDescent="0.25">
      <c r="A205" s="1"/>
      <c r="B205" s="250"/>
      <c r="C205" s="90" t="s">
        <v>68</v>
      </c>
      <c r="D205" s="124">
        <v>100</v>
      </c>
      <c r="E205" s="124">
        <f>0.0285</f>
        <v>2.8500000000000001E-2</v>
      </c>
      <c r="F205" s="124">
        <f>71.75978</f>
        <v>71.759780000000006</v>
      </c>
      <c r="G205" s="124">
        <f>D205-F205</f>
        <v>28.240219999999994</v>
      </c>
      <c r="H205" s="124">
        <f>62.61087</f>
        <v>62.610869999999998</v>
      </c>
      <c r="I205" s="244"/>
      <c r="J205" s="120"/>
    </row>
    <row r="206" spans="1:10" ht="15.75" customHeight="1" x14ac:dyDescent="0.25">
      <c r="A206" s="1"/>
      <c r="B206" s="250"/>
      <c r="C206" s="146" t="s">
        <v>82</v>
      </c>
      <c r="D206" s="168">
        <v>42</v>
      </c>
      <c r="E206" s="139">
        <f>0</f>
        <v>0</v>
      </c>
      <c r="F206" s="139">
        <f>0</f>
        <v>0</v>
      </c>
      <c r="G206" s="139">
        <f>D206-F206</f>
        <v>42</v>
      </c>
      <c r="H206" s="139">
        <f>0</f>
        <v>0</v>
      </c>
      <c r="I206" s="244"/>
      <c r="J206" s="120"/>
    </row>
    <row r="207" spans="1:10" ht="16.5" customHeight="1" x14ac:dyDescent="0.25">
      <c r="A207" s="1"/>
      <c r="B207" s="250"/>
      <c r="C207" s="179" t="s">
        <v>88</v>
      </c>
      <c r="D207" s="190">
        <f>SUM(D204:D206)</f>
        <v>43981</v>
      </c>
      <c r="E207" s="190">
        <f>SUM(E204:E206)</f>
        <v>144.45216000000002</v>
      </c>
      <c r="F207" s="190">
        <f>SUM(F204:F206)</f>
        <v>42633.793389999999</v>
      </c>
      <c r="G207" s="190">
        <f>D207-F207</f>
        <v>1347.2066100000011</v>
      </c>
      <c r="H207" s="190">
        <f>SUM(H204:H206)</f>
        <v>39323.629219999995</v>
      </c>
      <c r="I207" s="244"/>
      <c r="J207" s="120"/>
    </row>
    <row r="208" spans="1:10" ht="17.100000000000001" customHeight="1" x14ac:dyDescent="0.25">
      <c r="A208" s="1"/>
      <c r="B208" s="164"/>
      <c r="C208" s="201" t="s">
        <v>89</v>
      </c>
      <c r="D208" s="107"/>
      <c r="E208" s="107"/>
      <c r="F208" s="210"/>
      <c r="G208" s="210"/>
      <c r="H208" s="210"/>
      <c r="I208" s="210"/>
      <c r="J208" s="212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119</v>
      </c>
      <c r="B242" s="1"/>
      <c r="C242" s="1"/>
      <c r="D242" s="1"/>
      <c r="E242" s="1"/>
      <c r="F242" s="1"/>
      <c r="G242" s="1"/>
      <c r="H242" s="1"/>
      <c r="I242" s="1"/>
      <c r="J242" s="214"/>
    </row>
    <row r="243" spans="1:10" ht="21.75" customHeight="1" x14ac:dyDescent="0.35">
      <c r="A243" s="150"/>
      <c r="B243" s="1"/>
      <c r="C243" s="211" t="s">
        <v>137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35">
      <c r="A244" s="150" t="s">
        <v>119</v>
      </c>
      <c r="B244" s="1"/>
      <c r="C244" s="211"/>
      <c r="D244" s="170"/>
      <c r="E244" s="170"/>
      <c r="F244" s="170"/>
      <c r="G244" s="170"/>
      <c r="H244" s="1"/>
      <c r="I244" s="1"/>
      <c r="J244" s="1"/>
    </row>
    <row r="245" spans="1:10" ht="12" customHeight="1" x14ac:dyDescent="0.25">
      <c r="A245" s="150"/>
      <c r="B245" s="138"/>
      <c r="C245" s="222"/>
      <c r="D245" s="233"/>
      <c r="E245" s="233"/>
      <c r="F245" s="233"/>
      <c r="G245" s="233"/>
      <c r="H245" s="154"/>
      <c r="I245" s="154"/>
      <c r="J245" s="162"/>
    </row>
    <row r="246" spans="1:10" ht="23.25" customHeight="1" x14ac:dyDescent="0.25">
      <c r="A246" s="1"/>
      <c r="B246" s="250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25">
      <c r="A247" s="1"/>
      <c r="B247" s="250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25">
      <c r="A248" s="1"/>
      <c r="B248" s="250"/>
      <c r="C248" s="68" t="s">
        <v>16</v>
      </c>
      <c r="D248" s="79" t="s">
        <v>2</v>
      </c>
      <c r="E248" s="68" t="s">
        <v>142</v>
      </c>
      <c r="F248" s="68" t="s">
        <v>143</v>
      </c>
      <c r="G248" s="68" t="s">
        <v>144</v>
      </c>
      <c r="H248" s="68" t="s">
        <v>145</v>
      </c>
      <c r="I248" s="1"/>
      <c r="J248" s="120"/>
    </row>
    <row r="249" spans="1:10" ht="15" customHeight="1" x14ac:dyDescent="0.25">
      <c r="A249" s="1"/>
      <c r="B249" s="250"/>
      <c r="C249" s="90" t="s">
        <v>8</v>
      </c>
      <c r="D249" s="124"/>
      <c r="E249" s="75">
        <f>6.7599</f>
        <v>6.7599</v>
      </c>
      <c r="F249" s="75">
        <f>3654.18499</f>
        <v>3654.1849900000002</v>
      </c>
      <c r="G249" s="75"/>
      <c r="H249" s="75">
        <f>2957.84387</f>
        <v>2957.8438700000002</v>
      </c>
      <c r="I249" s="244"/>
      <c r="J249" s="120"/>
    </row>
    <row r="250" spans="1:10" ht="15" customHeight="1" x14ac:dyDescent="0.25">
      <c r="A250" s="1"/>
      <c r="B250" s="250"/>
      <c r="C250" s="90" t="s">
        <v>11</v>
      </c>
      <c r="D250" s="124"/>
      <c r="E250" s="75">
        <f>40.40917</f>
        <v>40.409170000000003</v>
      </c>
      <c r="F250" s="75">
        <f>5797.71635</f>
        <v>5797.7163499999997</v>
      </c>
      <c r="G250" s="75"/>
      <c r="H250" s="75">
        <f>5326.88155</f>
        <v>5326.8815500000001</v>
      </c>
      <c r="I250" s="244"/>
      <c r="J250" s="120"/>
    </row>
    <row r="251" spans="1:10" ht="15.75" customHeight="1" x14ac:dyDescent="0.25">
      <c r="A251" s="1"/>
      <c r="B251" s="250"/>
      <c r="C251" s="146" t="s">
        <v>68</v>
      </c>
      <c r="D251" s="168"/>
      <c r="E251" s="124">
        <f>3.1343</f>
        <v>3.1343000000000001</v>
      </c>
      <c r="F251" s="124">
        <f>736.08046</f>
        <v>736.08046000000002</v>
      </c>
      <c r="G251" s="168"/>
      <c r="H251" s="124">
        <f>721.88968</f>
        <v>721.88968</v>
      </c>
      <c r="I251" s="244"/>
      <c r="J251" s="120"/>
    </row>
    <row r="252" spans="1:10" ht="16.5" customHeight="1" x14ac:dyDescent="0.25">
      <c r="A252" s="1"/>
      <c r="B252" s="250"/>
      <c r="C252" s="179" t="s">
        <v>88</v>
      </c>
      <c r="D252" s="190">
        <v>10454</v>
      </c>
      <c r="E252" s="190">
        <f>SUM(E249:E251)</f>
        <v>50.303370000000008</v>
      </c>
      <c r="F252" s="190">
        <f>SUM(F249:F251)</f>
        <v>10187.9818</v>
      </c>
      <c r="G252" s="190">
        <f>D252-F252</f>
        <v>266.01820000000043</v>
      </c>
      <c r="H252" s="190">
        <f>SUM(H249:H251)</f>
        <v>9006.6151000000009</v>
      </c>
      <c r="I252" s="244"/>
      <c r="J252" s="120"/>
    </row>
    <row r="253" spans="1:10" ht="17.100000000000001" customHeight="1" x14ac:dyDescent="0.25">
      <c r="A253" s="1"/>
      <c r="B253" s="164"/>
      <c r="C253" s="201"/>
      <c r="D253" s="107"/>
      <c r="E253" s="107"/>
      <c r="F253" s="210"/>
      <c r="G253" s="210"/>
      <c r="H253" s="210"/>
      <c r="I253" s="210"/>
      <c r="J253" s="212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7.100000000000001" customHeight="1" x14ac:dyDescent="0.25">
      <c r="A287" s="1" t="s">
        <v>119</v>
      </c>
      <c r="B287" s="1"/>
      <c r="C287" s="1"/>
      <c r="D287" s="1"/>
      <c r="E287" s="1"/>
      <c r="F287" s="1"/>
      <c r="G287" s="1"/>
      <c r="H287" s="1"/>
      <c r="I287" s="1"/>
      <c r="J287" s="214"/>
    </row>
    <row r="288" spans="1:10" ht="21.75" customHeight="1" x14ac:dyDescent="0.35">
      <c r="A288" s="150"/>
      <c r="B288" s="1"/>
      <c r="C288" s="211" t="s">
        <v>138</v>
      </c>
      <c r="D288" s="170"/>
      <c r="E288" s="170"/>
      <c r="F288" s="170"/>
      <c r="G288" s="170"/>
      <c r="H288" s="1"/>
      <c r="I288" s="1"/>
      <c r="J288" s="1"/>
    </row>
    <row r="289" spans="1:10" ht="21.75" customHeight="1" x14ac:dyDescent="0.35">
      <c r="A289" s="150" t="s">
        <v>119</v>
      </c>
      <c r="B289" s="1"/>
      <c r="C289" s="211"/>
      <c r="D289" s="170"/>
      <c r="E289" s="170"/>
      <c r="F289" s="170"/>
      <c r="G289" s="170"/>
      <c r="H289" s="1"/>
      <c r="I289" s="1"/>
      <c r="J289" s="1"/>
    </row>
    <row r="290" spans="1:10" ht="12" customHeight="1" x14ac:dyDescent="0.25">
      <c r="A290" s="150"/>
      <c r="B290" s="138"/>
      <c r="C290" s="222"/>
      <c r="D290" s="233"/>
      <c r="E290" s="233"/>
      <c r="F290" s="233"/>
      <c r="G290" s="233"/>
      <c r="H290" s="154"/>
      <c r="I290" s="154"/>
      <c r="J290" s="162"/>
    </row>
    <row r="291" spans="1:10" ht="23.25" customHeight="1" x14ac:dyDescent="0.25">
      <c r="A291" s="1"/>
      <c r="B291" s="250"/>
      <c r="C291" s="18" t="s">
        <v>15</v>
      </c>
      <c r="D291" s="170"/>
      <c r="E291" s="170"/>
      <c r="F291" s="170"/>
      <c r="G291" s="1"/>
      <c r="H291" s="1"/>
      <c r="I291" s="1"/>
      <c r="J291" s="120"/>
    </row>
    <row r="292" spans="1:10" ht="15" customHeight="1" x14ac:dyDescent="0.25">
      <c r="A292" s="1"/>
      <c r="B292" s="250"/>
      <c r="C292" s="101"/>
      <c r="D292" s="170"/>
      <c r="E292" s="170"/>
      <c r="F292" s="170"/>
      <c r="G292" s="170"/>
      <c r="H292" s="1"/>
      <c r="I292" s="1"/>
      <c r="J292" s="120"/>
    </row>
    <row r="293" spans="1:10" ht="48.75" customHeight="1" x14ac:dyDescent="0.25">
      <c r="A293" s="1"/>
      <c r="B293" s="250"/>
      <c r="C293" s="68" t="s">
        <v>16</v>
      </c>
      <c r="D293" s="79" t="s">
        <v>2</v>
      </c>
      <c r="E293" s="68" t="s">
        <v>142</v>
      </c>
      <c r="F293" s="68" t="s">
        <v>143</v>
      </c>
      <c r="G293" s="68" t="s">
        <v>144</v>
      </c>
      <c r="H293" s="68" t="s">
        <v>145</v>
      </c>
      <c r="I293" s="1"/>
      <c r="J293" s="120"/>
    </row>
    <row r="294" spans="1:10" ht="15" customHeight="1" x14ac:dyDescent="0.25">
      <c r="A294" s="1"/>
      <c r="B294" s="250"/>
      <c r="C294" s="90" t="s">
        <v>8</v>
      </c>
      <c r="D294" s="124"/>
      <c r="E294" s="75">
        <f>4.664</f>
        <v>4.6639999999999997</v>
      </c>
      <c r="F294" s="75">
        <f>5592.20345</f>
        <v>5592.20345</v>
      </c>
      <c r="G294" s="75"/>
      <c r="H294" s="75">
        <f>4367.85251</f>
        <v>4367.8525099999997</v>
      </c>
      <c r="I294" s="244"/>
      <c r="J294" s="120"/>
    </row>
    <row r="295" spans="1:10" ht="15" customHeight="1" x14ac:dyDescent="0.25">
      <c r="A295" s="1"/>
      <c r="B295" s="250"/>
      <c r="C295" s="90" t="s">
        <v>11</v>
      </c>
      <c r="D295" s="124"/>
      <c r="E295" s="75">
        <f>64.858</f>
        <v>64.858000000000004</v>
      </c>
      <c r="F295" s="75">
        <f>4459.02258</f>
        <v>4459.0225799999998</v>
      </c>
      <c r="G295" s="75"/>
      <c r="H295" s="75">
        <f>4264.36544</f>
        <v>4264.3654399999996</v>
      </c>
      <c r="I295" s="244"/>
      <c r="J295" s="120"/>
    </row>
    <row r="296" spans="1:10" ht="15.75" customHeight="1" x14ac:dyDescent="0.25">
      <c r="A296" s="1"/>
      <c r="B296" s="250"/>
      <c r="C296" s="146" t="s">
        <v>68</v>
      </c>
      <c r="D296" s="168"/>
      <c r="E296" s="124">
        <f>1.6275</f>
        <v>1.6274999999999999</v>
      </c>
      <c r="F296" s="124">
        <f>535.45266</f>
        <v>535.45266000000004</v>
      </c>
      <c r="G296" s="168"/>
      <c r="H296" s="124">
        <f>607.87039</f>
        <v>607.87039000000004</v>
      </c>
      <c r="I296" s="244"/>
      <c r="J296" s="120"/>
    </row>
    <row r="297" spans="1:10" ht="16.5" customHeight="1" x14ac:dyDescent="0.25">
      <c r="A297" s="1"/>
      <c r="B297" s="250"/>
      <c r="C297" s="179" t="s">
        <v>88</v>
      </c>
      <c r="D297" s="190">
        <v>8076</v>
      </c>
      <c r="E297" s="190">
        <f>SUM(E294:E296)</f>
        <v>71.149500000000003</v>
      </c>
      <c r="F297" s="190">
        <f>SUM(F294:F296)</f>
        <v>10586.678690000001</v>
      </c>
      <c r="G297" s="190">
        <f>D297-F297</f>
        <v>-2510.6786900000006</v>
      </c>
      <c r="H297" s="190">
        <f>SUM(H294:H296)</f>
        <v>9240.0883399999984</v>
      </c>
      <c r="I297" s="244"/>
      <c r="J297" s="120"/>
    </row>
    <row r="298" spans="1:10" ht="17.100000000000001" customHeight="1" x14ac:dyDescent="0.25">
      <c r="A298" s="1"/>
      <c r="B298" s="164"/>
      <c r="C298" s="201"/>
      <c r="D298" s="107"/>
      <c r="E298" s="107"/>
      <c r="F298" s="210"/>
      <c r="G298" s="210"/>
      <c r="H298" s="210"/>
      <c r="I298" s="210"/>
      <c r="J298" s="212"/>
    </row>
    <row r="299" spans="1:10" ht="0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0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0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61.5" customHeight="1" x14ac:dyDescent="0.25">
      <c r="A332" s="1" t="s">
        <v>119</v>
      </c>
      <c r="B332" s="1"/>
      <c r="C332" s="1"/>
      <c r="D332" s="1"/>
      <c r="E332" s="1"/>
      <c r="F332" s="1"/>
      <c r="G332" s="1"/>
      <c r="H332" s="1"/>
      <c r="I332" s="1"/>
      <c r="J332" s="214"/>
    </row>
    <row r="333" spans="1:10" ht="30" customHeight="1" x14ac:dyDescent="0.25">
      <c r="A333" s="214"/>
      <c r="B333" s="214"/>
      <c r="C333" s="215" t="s">
        <v>90</v>
      </c>
      <c r="D333" s="214"/>
      <c r="E333" s="214"/>
      <c r="F333" s="214"/>
      <c r="G333" s="214"/>
      <c r="H333" s="214"/>
      <c r="I333" s="214"/>
      <c r="J333" s="220"/>
    </row>
    <row r="334" spans="1:10" ht="30" customHeight="1" x14ac:dyDescent="0.25">
      <c r="A334" s="214" t="s">
        <v>119</v>
      </c>
      <c r="B334" s="214"/>
      <c r="C334" s="215"/>
      <c r="D334" s="214"/>
      <c r="E334" s="214"/>
      <c r="F334" s="214"/>
      <c r="G334" s="214"/>
      <c r="H334" s="214"/>
      <c r="I334" s="214"/>
      <c r="J334" s="220"/>
    </row>
    <row r="335" spans="1:10" ht="14.1" customHeight="1" x14ac:dyDescent="0.25">
      <c r="A335" s="1"/>
      <c r="B335" s="136"/>
      <c r="C335" s="174"/>
      <c r="D335" s="174"/>
      <c r="E335" s="174"/>
      <c r="F335" s="174"/>
      <c r="G335" s="174"/>
      <c r="H335" s="174"/>
      <c r="I335" s="174"/>
      <c r="J335" s="162"/>
    </row>
    <row r="336" spans="1:10" ht="14.1" customHeight="1" x14ac:dyDescent="0.25">
      <c r="A336" s="156"/>
      <c r="B336" s="52"/>
      <c r="C336" s="149" t="s">
        <v>1</v>
      </c>
      <c r="D336" s="185"/>
      <c r="E336" s="150"/>
      <c r="F336" s="150"/>
      <c r="G336" s="156"/>
      <c r="H336" s="156"/>
      <c r="I336" s="156"/>
      <c r="J336" s="120"/>
    </row>
    <row r="337" spans="1:10" ht="14.1" customHeight="1" x14ac:dyDescent="0.25">
      <c r="A337" s="1"/>
      <c r="B337" s="250"/>
      <c r="C337" s="255" t="s">
        <v>85</v>
      </c>
      <c r="D337" s="266">
        <v>3299</v>
      </c>
      <c r="E337" s="150"/>
      <c r="F337" s="221"/>
      <c r="G337" s="1"/>
      <c r="H337" s="1"/>
      <c r="I337" s="1"/>
      <c r="J337" s="120"/>
    </row>
    <row r="338" spans="1:10" ht="14.1" customHeight="1" x14ac:dyDescent="0.25">
      <c r="A338" s="1"/>
      <c r="B338" s="250"/>
      <c r="C338" s="244" t="s">
        <v>91</v>
      </c>
      <c r="D338" s="46">
        <v>9882</v>
      </c>
      <c r="E338" s="150"/>
      <c r="F338" s="221"/>
      <c r="G338" s="1"/>
      <c r="H338" s="1"/>
      <c r="I338" s="1"/>
      <c r="J338" s="120"/>
    </row>
    <row r="339" spans="1:10" ht="14.1" customHeight="1" x14ac:dyDescent="0.25">
      <c r="A339" s="1"/>
      <c r="B339" s="250"/>
      <c r="C339" s="244" t="s">
        <v>92</v>
      </c>
      <c r="D339" s="46">
        <v>8089</v>
      </c>
      <c r="E339" s="150"/>
      <c r="F339" s="221"/>
      <c r="G339" s="1"/>
      <c r="H339" s="1"/>
      <c r="I339" s="1"/>
      <c r="J339" s="120"/>
    </row>
    <row r="340" spans="1:10" ht="13.5" customHeight="1" x14ac:dyDescent="0.25">
      <c r="A340" s="1"/>
      <c r="B340" s="250"/>
      <c r="C340" s="244" t="s">
        <v>75</v>
      </c>
      <c r="D340" s="46">
        <v>382</v>
      </c>
      <c r="E340" s="150"/>
      <c r="F340" s="221"/>
      <c r="G340" s="1"/>
      <c r="H340" s="1"/>
      <c r="I340" s="1"/>
      <c r="J340" s="120"/>
    </row>
    <row r="341" spans="1:10" ht="14.25" customHeight="1" x14ac:dyDescent="0.25">
      <c r="A341" s="1"/>
      <c r="B341" s="250"/>
      <c r="C341" s="57" t="s">
        <v>50</v>
      </c>
      <c r="D341" s="35">
        <f>SUM(D337:D340)</f>
        <v>21652</v>
      </c>
      <c r="E341" s="150"/>
      <c r="F341" s="150"/>
      <c r="G341" s="1"/>
      <c r="H341" s="1"/>
      <c r="I341" s="1"/>
      <c r="J341" s="120"/>
    </row>
    <row r="342" spans="1:10" ht="14.1" customHeight="1" x14ac:dyDescent="0.25">
      <c r="A342" s="1"/>
      <c r="B342" s="250"/>
      <c r="C342" s="224" t="s">
        <v>93</v>
      </c>
      <c r="D342" s="225"/>
      <c r="E342" s="178"/>
      <c r="F342" s="178"/>
      <c r="G342" s="1"/>
      <c r="H342" s="1"/>
      <c r="I342" s="1"/>
      <c r="J342" s="120"/>
    </row>
    <row r="343" spans="1:10" ht="15" customHeight="1" x14ac:dyDescent="0.25">
      <c r="A343" s="1"/>
      <c r="B343" s="250"/>
      <c r="C343" s="101" t="s">
        <v>94</v>
      </c>
      <c r="D343" s="226"/>
      <c r="E343" s="1"/>
      <c r="F343" s="1"/>
      <c r="G343" s="1"/>
      <c r="H343" s="1"/>
      <c r="I343" s="1"/>
      <c r="J343" s="120"/>
    </row>
    <row r="344" spans="1:10" ht="14.25" customHeight="1" x14ac:dyDescent="0.25">
      <c r="A344" s="1"/>
      <c r="B344" s="250"/>
      <c r="C344" s="101" t="s">
        <v>95</v>
      </c>
      <c r="D344" s="1"/>
      <c r="E344" s="1"/>
      <c r="F344" s="1"/>
      <c r="G344" s="1"/>
      <c r="H344" s="1"/>
      <c r="I344" s="1"/>
      <c r="J344" s="120"/>
    </row>
    <row r="345" spans="1:10" ht="23.25" customHeight="1" x14ac:dyDescent="0.25">
      <c r="A345" s="1"/>
      <c r="B345" s="227"/>
      <c r="C345" s="230" t="s">
        <v>15</v>
      </c>
      <c r="D345" s="230"/>
      <c r="E345" s="230"/>
      <c r="F345" s="230"/>
      <c r="G345" s="230"/>
      <c r="H345" s="230"/>
      <c r="I345" s="230"/>
      <c r="J345" s="234"/>
    </row>
    <row r="346" spans="1:10" ht="14.1" customHeight="1" x14ac:dyDescent="0.25">
      <c r="A346" s="1"/>
      <c r="B346" s="236"/>
      <c r="C346" s="238"/>
      <c r="D346" s="238"/>
      <c r="E346" s="238"/>
      <c r="F346" s="238"/>
      <c r="G346" s="238"/>
      <c r="H346" s="238"/>
      <c r="I346" s="238"/>
      <c r="J346" s="120"/>
    </row>
    <row r="347" spans="1:10" ht="54" customHeight="1" x14ac:dyDescent="0.25">
      <c r="A347" s="1"/>
      <c r="B347" s="250"/>
      <c r="C347" s="68" t="s">
        <v>16</v>
      </c>
      <c r="D347" s="239" t="s">
        <v>2</v>
      </c>
      <c r="E347" s="68" t="s">
        <v>142</v>
      </c>
      <c r="F347" s="68" t="s">
        <v>143</v>
      </c>
      <c r="G347" s="68" t="s">
        <v>144</v>
      </c>
      <c r="H347" s="68" t="s">
        <v>145</v>
      </c>
      <c r="I347" s="1"/>
      <c r="J347" s="116"/>
    </row>
    <row r="348" spans="1:10" ht="14.1" customHeight="1" x14ac:dyDescent="0.25">
      <c r="A348" s="67"/>
      <c r="B348" s="78"/>
      <c r="C348" s="90" t="s">
        <v>96</v>
      </c>
      <c r="D348" s="124">
        <v>800</v>
      </c>
      <c r="E348" s="124">
        <f>11.87493</f>
        <v>11.874930000000001</v>
      </c>
      <c r="F348" s="124">
        <f>627.74835</f>
        <v>627.74834999999996</v>
      </c>
      <c r="G348" s="124">
        <f>D348-F348</f>
        <v>172.25165000000004</v>
      </c>
      <c r="H348" s="124">
        <f>394.30464</f>
        <v>394.30464000000001</v>
      </c>
      <c r="I348" s="67"/>
      <c r="J348" s="240"/>
    </row>
    <row r="349" spans="1:10" ht="14.1" customHeight="1" x14ac:dyDescent="0.25">
      <c r="A349" s="1"/>
      <c r="B349" s="250"/>
      <c r="C349" s="90" t="s">
        <v>97</v>
      </c>
      <c r="D349" s="242">
        <v>2494</v>
      </c>
      <c r="E349" s="124">
        <f>2.76643</f>
        <v>2.7664300000000002</v>
      </c>
      <c r="F349" s="124">
        <f>2805.22655</f>
        <v>2805.2265499999999</v>
      </c>
      <c r="G349" s="124">
        <f>D349-F349</f>
        <v>-311.22654999999986</v>
      </c>
      <c r="H349" s="124">
        <f>1825.96586</f>
        <v>1825.96586</v>
      </c>
      <c r="I349" s="178"/>
      <c r="J349" s="116"/>
    </row>
    <row r="350" spans="1:10" ht="16.5" customHeight="1" x14ac:dyDescent="0.25">
      <c r="A350" s="67"/>
      <c r="B350" s="78"/>
      <c r="C350" s="146" t="s">
        <v>82</v>
      </c>
      <c r="D350" s="242">
        <v>5</v>
      </c>
      <c r="E350" s="168">
        <f>0</f>
        <v>0</v>
      </c>
      <c r="F350" s="168">
        <f>2.73874</f>
        <v>2.73874</v>
      </c>
      <c r="G350" s="124">
        <f>D350-F350</f>
        <v>2.26126</v>
      </c>
      <c r="H350" s="168">
        <f>5.50528</f>
        <v>5.50528</v>
      </c>
      <c r="I350" s="67"/>
      <c r="J350" s="245"/>
    </row>
    <row r="351" spans="1:10" ht="18.75" customHeight="1" x14ac:dyDescent="0.25">
      <c r="A351" s="67"/>
      <c r="B351" s="246"/>
      <c r="C351" s="146" t="s">
        <v>98</v>
      </c>
      <c r="D351" s="218"/>
      <c r="E351" s="168">
        <f>0</f>
        <v>0</v>
      </c>
      <c r="F351" s="168">
        <f>1.81523</f>
        <v>1.8152299999999999</v>
      </c>
      <c r="G351" s="124">
        <f>D351-F351</f>
        <v>-1.8152299999999999</v>
      </c>
      <c r="H351" s="168">
        <f>6.98164</f>
        <v>6.9816399999999996</v>
      </c>
      <c r="I351" s="280"/>
      <c r="J351" s="120"/>
    </row>
    <row r="352" spans="1:10" ht="14.1" customHeight="1" x14ac:dyDescent="0.25">
      <c r="A352" s="1"/>
      <c r="B352" s="250"/>
      <c r="C352" s="179" t="s">
        <v>88</v>
      </c>
      <c r="D352" s="6">
        <f>D337</f>
        <v>3299</v>
      </c>
      <c r="E352" s="190">
        <f>SUM(E348:E351)</f>
        <v>14.641360000000001</v>
      </c>
      <c r="F352" s="190">
        <f>SUM(F348:F351)</f>
        <v>3437.5288699999996</v>
      </c>
      <c r="G352" s="190">
        <f>D352-F352</f>
        <v>-138.52886999999964</v>
      </c>
      <c r="H352" s="190">
        <f>H348+H349+H350+H351</f>
        <v>2232.7574199999999</v>
      </c>
      <c r="I352" s="1"/>
      <c r="J352" s="120"/>
    </row>
    <row r="353" spans="1:10" ht="14.1" customHeight="1" x14ac:dyDescent="0.25">
      <c r="A353" s="1"/>
      <c r="B353" s="250"/>
      <c r="C353" s="21"/>
      <c r="D353" s="34"/>
      <c r="E353" s="34"/>
      <c r="F353" s="34"/>
      <c r="G353" s="34"/>
      <c r="H353" s="34"/>
      <c r="I353" s="1"/>
      <c r="J353" s="120"/>
    </row>
    <row r="354" spans="1:10" ht="14.1" customHeight="1" x14ac:dyDescent="0.25">
      <c r="A354" s="1"/>
      <c r="B354" s="164"/>
      <c r="C354" s="107"/>
      <c r="D354" s="107"/>
      <c r="E354" s="107"/>
      <c r="F354" s="107"/>
      <c r="G354" s="106"/>
      <c r="H354" s="107"/>
      <c r="I354" s="107"/>
      <c r="J354" s="118"/>
    </row>
    <row r="355" spans="1:10" ht="14.1" customHeight="1" x14ac:dyDescent="0.25">
      <c r="A355" s="1"/>
      <c r="C355" s="150" t="s">
        <v>119</v>
      </c>
    </row>
    <row r="356" spans="1:10" ht="14.1" customHeight="1" x14ac:dyDescent="0.25">
      <c r="A356" s="1" t="s">
        <v>119</v>
      </c>
    </row>
    <row r="357" spans="1:10" ht="14.1" customHeight="1" x14ac:dyDescent="0.25">
      <c r="A357" s="1" t="s">
        <v>119</v>
      </c>
    </row>
    <row r="358" spans="1:10" ht="14.1" customHeight="1" x14ac:dyDescent="0.25">
      <c r="A358" s="1"/>
      <c r="C358" s="150" t="s">
        <v>119</v>
      </c>
    </row>
    <row r="359" spans="1:10" x14ac:dyDescent="0.25">
      <c r="A359" s="1"/>
      <c r="C359" s="150" t="s">
        <v>119</v>
      </c>
    </row>
    <row r="360" spans="1:10" ht="14.1" customHeight="1" x14ac:dyDescent="0.25">
      <c r="A360" s="1"/>
      <c r="C360" s="150" t="s">
        <v>119</v>
      </c>
    </row>
    <row r="361" spans="1:10" ht="14.1" customHeight="1" x14ac:dyDescent="0.25">
      <c r="A361" s="1"/>
      <c r="C361" s="150" t="s">
        <v>119</v>
      </c>
    </row>
    <row r="362" spans="1:10" ht="30" customHeight="1" x14ac:dyDescent="0.35">
      <c r="A362" s="214"/>
      <c r="B362" s="1"/>
      <c r="C362" s="211" t="s">
        <v>99</v>
      </c>
      <c r="D362" s="156"/>
      <c r="E362" s="1"/>
      <c r="F362" s="1"/>
      <c r="G362" s="1"/>
      <c r="H362" s="1"/>
      <c r="I362" s="1"/>
      <c r="J362" s="1"/>
    </row>
    <row r="363" spans="1:10" ht="17.100000000000001" customHeight="1" x14ac:dyDescent="0.25">
      <c r="B363" s="123"/>
      <c r="C363" s="235"/>
      <c r="D363" s="235"/>
      <c r="E363" s="235"/>
      <c r="F363" s="235"/>
      <c r="G363" s="235"/>
      <c r="H363" s="235"/>
      <c r="I363" s="235"/>
      <c r="J363" s="60"/>
    </row>
    <row r="364" spans="1:10" ht="6" customHeight="1" x14ac:dyDescent="0.25">
      <c r="B364" s="72"/>
      <c r="C364" s="150"/>
      <c r="D364" s="150"/>
      <c r="E364" s="150"/>
      <c r="F364" s="150"/>
      <c r="G364" s="150"/>
      <c r="H364" s="150"/>
      <c r="I364" s="150"/>
      <c r="J364" s="130"/>
    </row>
    <row r="365" spans="1:10" ht="18" customHeight="1" x14ac:dyDescent="0.25">
      <c r="B365" s="72"/>
      <c r="C365" s="149" t="s">
        <v>1</v>
      </c>
      <c r="D365" s="185"/>
      <c r="E365" s="149" t="s">
        <v>100</v>
      </c>
      <c r="F365" s="185"/>
      <c r="G365" s="149" t="s">
        <v>101</v>
      </c>
      <c r="H365" s="185"/>
      <c r="I365" s="150"/>
      <c r="J365" s="130"/>
    </row>
    <row r="366" spans="1:10" ht="14.25" customHeight="1" x14ac:dyDescent="0.25">
      <c r="B366" s="72"/>
      <c r="C366" s="255" t="s">
        <v>85</v>
      </c>
      <c r="D366" s="266">
        <v>27365</v>
      </c>
      <c r="E366" s="248" t="s">
        <v>4</v>
      </c>
      <c r="F366" s="103">
        <v>13865</v>
      </c>
      <c r="G366" s="244" t="s">
        <v>20</v>
      </c>
      <c r="H366" s="46">
        <v>6472</v>
      </c>
      <c r="I366" s="150"/>
      <c r="J366" s="130"/>
    </row>
    <row r="367" spans="1:10" ht="14.25" customHeight="1" x14ac:dyDescent="0.25">
      <c r="B367" s="72"/>
      <c r="C367" s="244" t="s">
        <v>92</v>
      </c>
      <c r="D367" s="46">
        <v>19433</v>
      </c>
      <c r="E367" s="178" t="s">
        <v>97</v>
      </c>
      <c r="F367" s="47">
        <v>8000</v>
      </c>
      <c r="G367" s="244" t="s">
        <v>21</v>
      </c>
      <c r="H367" s="46">
        <v>1684</v>
      </c>
      <c r="I367" s="150"/>
      <c r="J367" s="130"/>
    </row>
    <row r="368" spans="1:10" ht="14.25" customHeight="1" x14ac:dyDescent="0.25">
      <c r="B368" s="72"/>
      <c r="C368" s="244" t="s">
        <v>91</v>
      </c>
      <c r="D368" s="46">
        <v>6186</v>
      </c>
      <c r="E368" s="178" t="s">
        <v>60</v>
      </c>
      <c r="F368" s="47">
        <v>5500</v>
      </c>
      <c r="G368" s="244" t="s">
        <v>102</v>
      </c>
      <c r="H368" s="46">
        <v>4296</v>
      </c>
      <c r="I368" s="150"/>
      <c r="J368" s="130"/>
    </row>
    <row r="369" spans="1:10" ht="14.1" customHeight="1" x14ac:dyDescent="0.25">
      <c r="B369" s="72"/>
      <c r="C369" s="244"/>
      <c r="D369" s="46"/>
      <c r="E369" s="131"/>
      <c r="F369" s="144"/>
      <c r="G369" s="244" t="s">
        <v>103</v>
      </c>
      <c r="H369" s="46">
        <v>1313</v>
      </c>
      <c r="I369" s="150"/>
      <c r="J369" s="130"/>
    </row>
    <row r="370" spans="1:10" ht="14.1" customHeight="1" x14ac:dyDescent="0.25">
      <c r="B370" s="72"/>
      <c r="C370" s="57" t="s">
        <v>50</v>
      </c>
      <c r="D370" s="35">
        <v>53374</v>
      </c>
      <c r="E370" s="173" t="s">
        <v>104</v>
      </c>
      <c r="F370" s="35">
        <f>F366+F367+F368</f>
        <v>27365</v>
      </c>
      <c r="G370" s="57" t="s">
        <v>4</v>
      </c>
      <c r="H370" s="35">
        <f>SUM(H366:H369)</f>
        <v>13765</v>
      </c>
      <c r="I370" s="150"/>
      <c r="J370" s="130"/>
    </row>
    <row r="371" spans="1:10" ht="13.35" customHeight="1" x14ac:dyDescent="0.25">
      <c r="B371" s="72"/>
      <c r="C371" s="101" t="s">
        <v>120</v>
      </c>
      <c r="D371" s="178"/>
      <c r="E371" s="178"/>
      <c r="F371" s="178"/>
      <c r="G371" s="1"/>
      <c r="H371" s="178"/>
      <c r="I371" s="178"/>
      <c r="J371" s="240"/>
    </row>
    <row r="372" spans="1:10" ht="13.35" customHeight="1" x14ac:dyDescent="0.25">
      <c r="B372" s="72"/>
      <c r="C372" s="101" t="s">
        <v>105</v>
      </c>
      <c r="D372" s="1"/>
      <c r="E372" s="1"/>
      <c r="F372" s="1"/>
      <c r="G372" s="1"/>
      <c r="H372" s="1"/>
      <c r="I372" s="1"/>
      <c r="J372" s="120"/>
    </row>
    <row r="373" spans="1:10" ht="9.75" customHeight="1" x14ac:dyDescent="0.25">
      <c r="B373" s="72"/>
      <c r="C373" s="101"/>
      <c r="D373" s="1"/>
      <c r="E373" s="1"/>
      <c r="F373" s="1"/>
      <c r="G373" s="1"/>
      <c r="H373" s="1"/>
      <c r="I373" s="1"/>
      <c r="J373" s="120"/>
    </row>
    <row r="374" spans="1:10" ht="18" customHeight="1" x14ac:dyDescent="0.25">
      <c r="B374" s="72"/>
      <c r="C374" s="150"/>
      <c r="D374" s="150"/>
      <c r="E374" s="150"/>
      <c r="F374" s="150"/>
      <c r="G374" s="150"/>
      <c r="H374" s="150"/>
      <c r="I374" s="150"/>
      <c r="J374" s="130"/>
    </row>
    <row r="375" spans="1:10" ht="29.25" customHeight="1" x14ac:dyDescent="0.25">
      <c r="B375" s="227"/>
      <c r="C375" s="230" t="s">
        <v>15</v>
      </c>
      <c r="D375" s="230"/>
      <c r="E375" s="230"/>
      <c r="F375" s="230"/>
      <c r="G375" s="230"/>
      <c r="H375" s="230"/>
      <c r="I375" s="230"/>
      <c r="J375" s="234"/>
    </row>
    <row r="376" spans="1:10" ht="18.75" customHeight="1" x14ac:dyDescent="0.25">
      <c r="B376" s="198"/>
      <c r="C376" s="220"/>
      <c r="D376" s="220"/>
      <c r="E376" s="220"/>
      <c r="F376" s="220"/>
      <c r="G376" s="220"/>
      <c r="H376" s="220"/>
      <c r="I376" s="220"/>
      <c r="J376" s="13"/>
    </row>
    <row r="377" spans="1:10" ht="64.5" customHeight="1" x14ac:dyDescent="0.25">
      <c r="B377" s="72"/>
      <c r="C377" s="219" t="s">
        <v>16</v>
      </c>
      <c r="D377" s="228" t="s">
        <v>17</v>
      </c>
      <c r="E377" s="68" t="s">
        <v>106</v>
      </c>
      <c r="F377" s="219" t="s">
        <v>142</v>
      </c>
      <c r="G377" s="219" t="s">
        <v>143</v>
      </c>
      <c r="H377" s="219" t="s">
        <v>144</v>
      </c>
      <c r="I377" s="219" t="s">
        <v>145</v>
      </c>
      <c r="J377" s="130"/>
    </row>
    <row r="378" spans="1:10" ht="14.1" customHeight="1" x14ac:dyDescent="0.25">
      <c r="A378" s="214"/>
      <c r="B378" s="72"/>
      <c r="C378" s="243" t="s">
        <v>19</v>
      </c>
      <c r="D378" s="247">
        <f t="shared" ref="D378:I378" si="16">D382+D381+D380+D379</f>
        <v>13765</v>
      </c>
      <c r="E378" s="247">
        <f t="shared" si="16"/>
        <v>16102</v>
      </c>
      <c r="F378" s="249">
        <f t="shared" si="16"/>
        <v>99.999840000000006</v>
      </c>
      <c r="G378" s="249">
        <f t="shared" si="16"/>
        <v>17494.632989999998</v>
      </c>
      <c r="H378" s="249">
        <f>H382+H381+H380+H379</f>
        <v>-1392.6329900000007</v>
      </c>
      <c r="I378" s="249">
        <f t="shared" si="16"/>
        <v>10735.03357</v>
      </c>
      <c r="J378" s="130"/>
    </row>
    <row r="379" spans="1:10" ht="14.1" customHeight="1" x14ac:dyDescent="0.25">
      <c r="A379" s="214"/>
      <c r="B379" s="72"/>
      <c r="C379" s="251" t="s">
        <v>107</v>
      </c>
      <c r="D379" s="252">
        <v>6472</v>
      </c>
      <c r="E379" s="252">
        <v>8177</v>
      </c>
      <c r="F379" s="253">
        <f>0</f>
        <v>0</v>
      </c>
      <c r="G379" s="253">
        <f>10188.20908</f>
        <v>10188.209080000001</v>
      </c>
      <c r="H379" s="253">
        <f t="shared" ref="H379:H383" si="17">E379-G379</f>
        <v>-2011.2090800000005</v>
      </c>
      <c r="I379" s="253">
        <f>6841.45385</f>
        <v>6841.4538499999999</v>
      </c>
      <c r="J379" s="130"/>
    </row>
    <row r="380" spans="1:10" ht="14.1" customHeight="1" x14ac:dyDescent="0.25">
      <c r="A380" s="214"/>
      <c r="B380" s="72"/>
      <c r="C380" s="256" t="s">
        <v>21</v>
      </c>
      <c r="D380" s="252">
        <v>1684</v>
      </c>
      <c r="E380" s="252">
        <v>2128</v>
      </c>
      <c r="F380" s="253">
        <f>0</f>
        <v>0</v>
      </c>
      <c r="G380" s="253">
        <f>1811.41785</f>
        <v>1811.41785</v>
      </c>
      <c r="H380" s="253">
        <f t="shared" si="17"/>
        <v>316.58214999999996</v>
      </c>
      <c r="I380" s="253">
        <f>1106.73405</f>
        <v>1106.73405</v>
      </c>
      <c r="J380" s="130"/>
    </row>
    <row r="381" spans="1:10" ht="14.1" customHeight="1" x14ac:dyDescent="0.25">
      <c r="A381" s="214"/>
      <c r="B381" s="72"/>
      <c r="C381" s="256" t="s">
        <v>103</v>
      </c>
      <c r="D381" s="252">
        <v>1313</v>
      </c>
      <c r="E381" s="252">
        <v>1357</v>
      </c>
      <c r="F381" s="253">
        <f>97.87824</f>
        <v>97.878240000000005</v>
      </c>
      <c r="G381" s="253">
        <f>2294.55816</f>
        <v>2294.55816</v>
      </c>
      <c r="H381" s="253">
        <f t="shared" si="17"/>
        <v>-937.55816000000004</v>
      </c>
      <c r="I381" s="253">
        <f>1753.98127</f>
        <v>1753.98127</v>
      </c>
      <c r="J381" s="130"/>
    </row>
    <row r="382" spans="1:10" ht="14.1" customHeight="1" x14ac:dyDescent="0.25">
      <c r="A382" s="214"/>
      <c r="B382" s="72"/>
      <c r="C382" s="258" t="s">
        <v>108</v>
      </c>
      <c r="D382" s="259">
        <v>4296</v>
      </c>
      <c r="E382" s="259">
        <v>4440</v>
      </c>
      <c r="F382" s="253">
        <f>2.1216</f>
        <v>2.1215999999999999</v>
      </c>
      <c r="G382" s="253">
        <f>3200.4479</f>
        <v>3200.4479000000001</v>
      </c>
      <c r="H382" s="253">
        <f t="shared" si="17"/>
        <v>1239.5520999999999</v>
      </c>
      <c r="I382" s="253">
        <f>1032.8644</f>
        <v>1032.8643999999999</v>
      </c>
      <c r="J382" s="130"/>
    </row>
    <row r="383" spans="1:10" ht="14.1" customHeight="1" x14ac:dyDescent="0.25">
      <c r="A383" s="214"/>
      <c r="B383" s="72"/>
      <c r="C383" s="261" t="s">
        <v>60</v>
      </c>
      <c r="D383" s="262">
        <v>5500</v>
      </c>
      <c r="E383" s="262">
        <v>5500</v>
      </c>
      <c r="F383" s="264">
        <f>0.446</f>
        <v>0.44600000000000001</v>
      </c>
      <c r="G383" s="264">
        <f>5114.46228</f>
        <v>5114.4622799999997</v>
      </c>
      <c r="H383" s="264">
        <f t="shared" si="17"/>
        <v>385.53772000000026</v>
      </c>
      <c r="I383" s="264">
        <f>4634.26376</f>
        <v>4634.2637599999998</v>
      </c>
      <c r="J383" s="130"/>
    </row>
    <row r="384" spans="1:10" ht="14.1" customHeight="1" x14ac:dyDescent="0.25">
      <c r="A384" s="214"/>
      <c r="B384" s="72"/>
      <c r="C384" s="243" t="s">
        <v>22</v>
      </c>
      <c r="D384" s="247">
        <v>8000</v>
      </c>
      <c r="E384" s="247">
        <v>8000</v>
      </c>
      <c r="F384" s="265">
        <f>F386+F385</f>
        <v>12.520499999999998</v>
      </c>
      <c r="G384" s="265">
        <f>G386+G385</f>
        <v>4825.2088599999997</v>
      </c>
      <c r="H384" s="265">
        <f>E384-G384</f>
        <v>3174.7911400000003</v>
      </c>
      <c r="I384" s="265">
        <f>I386+I385</f>
        <v>4995.9142499999998</v>
      </c>
      <c r="J384" s="130"/>
    </row>
    <row r="385" spans="1:10" ht="14.1" customHeight="1" x14ac:dyDescent="0.25">
      <c r="A385" s="214"/>
      <c r="B385" s="72"/>
      <c r="C385" s="256" t="s">
        <v>54</v>
      </c>
      <c r="D385" s="267"/>
      <c r="E385" s="252"/>
      <c r="F385" s="253">
        <f>6.7635</f>
        <v>6.7634999999999996</v>
      </c>
      <c r="G385" s="253">
        <f>871.69844</f>
        <v>871.69844000000001</v>
      </c>
      <c r="H385" s="253"/>
      <c r="I385" s="253">
        <f>1158.5387</f>
        <v>1158.5387000000001</v>
      </c>
      <c r="J385" s="130"/>
    </row>
    <row r="386" spans="1:10" ht="14.1" customHeight="1" x14ac:dyDescent="0.25">
      <c r="A386" s="214"/>
      <c r="B386" s="72"/>
      <c r="C386" s="269" t="s">
        <v>109</v>
      </c>
      <c r="D386" s="270"/>
      <c r="E386" s="273"/>
      <c r="F386" s="274">
        <f>5.757</f>
        <v>5.7569999999999997</v>
      </c>
      <c r="G386" s="274">
        <f>3953.51042</f>
        <v>3953.5104200000001</v>
      </c>
      <c r="H386" s="274"/>
      <c r="I386" s="274">
        <f>3837.37555</f>
        <v>3837.3755500000002</v>
      </c>
      <c r="J386" s="130"/>
    </row>
    <row r="387" spans="1:10" ht="14.1" customHeight="1" x14ac:dyDescent="0.25">
      <c r="A387" s="214"/>
      <c r="B387" s="72"/>
      <c r="C387" s="261" t="s">
        <v>34</v>
      </c>
      <c r="D387" s="262">
        <v>10</v>
      </c>
      <c r="E387" s="262">
        <v>10</v>
      </c>
      <c r="F387" s="264">
        <f>0</f>
        <v>0</v>
      </c>
      <c r="G387" s="264">
        <f>0.7485</f>
        <v>0.74850000000000005</v>
      </c>
      <c r="H387" s="264">
        <f>E387-G387</f>
        <v>9.2515000000000001</v>
      </c>
      <c r="I387" s="264">
        <f>0.4995</f>
        <v>0.4995</v>
      </c>
      <c r="J387" s="130"/>
    </row>
    <row r="388" spans="1:10" ht="14.1" customHeight="1" x14ac:dyDescent="0.25">
      <c r="A388" s="214"/>
      <c r="B388" s="72"/>
      <c r="C388" s="275" t="s">
        <v>110</v>
      </c>
      <c r="D388" s="278"/>
      <c r="E388" s="279"/>
      <c r="F388" s="264">
        <f>2.03492</f>
        <v>2.0349200000000001</v>
      </c>
      <c r="G388" s="264">
        <f>151.10909</f>
        <v>151.10909000000001</v>
      </c>
      <c r="H388" s="264">
        <f>E388-G388</f>
        <v>-151.10909000000001</v>
      </c>
      <c r="I388" s="264">
        <f>242.6572</f>
        <v>242.65719999999999</v>
      </c>
      <c r="J388" s="130"/>
    </row>
    <row r="389" spans="1:10" ht="19.5" customHeight="1" x14ac:dyDescent="0.25">
      <c r="A389" s="214"/>
      <c r="B389" s="72"/>
      <c r="C389" s="281" t="s">
        <v>41</v>
      </c>
      <c r="D389" s="282">
        <f>D378+D383+D384+D387+D388</f>
        <v>27275</v>
      </c>
      <c r="E389" s="282">
        <f>E378+E383+E384+E387+E388</f>
        <v>29612</v>
      </c>
      <c r="F389" s="283">
        <f t="shared" ref="F389:I389" si="18">F378+F383+F384+F387+F388</f>
        <v>115.00126</v>
      </c>
      <c r="G389" s="283">
        <f t="shared" si="18"/>
        <v>27586.16172</v>
      </c>
      <c r="H389" s="283">
        <f>H378+H383+H384+H387+H388</f>
        <v>2025.8382799999995</v>
      </c>
      <c r="I389" s="283">
        <f t="shared" si="18"/>
        <v>20608.368280000002</v>
      </c>
      <c r="J389" s="130"/>
    </row>
    <row r="390" spans="1:10" ht="14.1" customHeight="1" x14ac:dyDescent="0.25">
      <c r="A390" s="214"/>
      <c r="B390" s="72"/>
      <c r="C390" s="161" t="s">
        <v>111</v>
      </c>
      <c r="D390" s="285"/>
      <c r="E390" s="285"/>
      <c r="F390" s="4"/>
      <c r="G390" s="4"/>
      <c r="H390" s="5"/>
      <c r="I390" s="5"/>
      <c r="J390" s="130"/>
    </row>
    <row r="391" spans="1:10" ht="14.1" customHeight="1" x14ac:dyDescent="0.25">
      <c r="A391" s="214"/>
      <c r="B391" s="72"/>
      <c r="C391" s="101" t="s">
        <v>121</v>
      </c>
      <c r="D391" s="285"/>
      <c r="E391" s="285"/>
      <c r="F391" s="4"/>
      <c r="G391" s="4"/>
      <c r="H391" s="7"/>
      <c r="I391" s="5"/>
      <c r="J391" s="130"/>
    </row>
    <row r="392" spans="1:10" ht="14.1" customHeight="1" x14ac:dyDescent="0.25">
      <c r="A392" s="214"/>
      <c r="B392" s="72"/>
      <c r="C392" s="101" t="s">
        <v>122</v>
      </c>
      <c r="D392" s="285"/>
      <c r="E392" s="285"/>
      <c r="F392" s="4"/>
      <c r="G392" s="4"/>
      <c r="H392" s="5"/>
      <c r="I392" s="7"/>
      <c r="J392" s="130"/>
    </row>
    <row r="393" spans="1:10" ht="15.75" customHeight="1" x14ac:dyDescent="0.25">
      <c r="A393" s="214"/>
      <c r="B393" s="8"/>
      <c r="C393" s="9"/>
      <c r="D393" s="107"/>
      <c r="E393" s="107"/>
      <c r="F393" s="107"/>
      <c r="G393" s="107"/>
      <c r="H393" s="107"/>
      <c r="I393" s="107"/>
      <c r="J393" s="12"/>
    </row>
    <row r="394" spans="1:10" ht="15.75" customHeight="1" x14ac:dyDescent="0.25">
      <c r="A394" s="214"/>
      <c r="B394" s="150" t="s">
        <v>119</v>
      </c>
      <c r="C394" s="14"/>
      <c r="D394" s="1"/>
      <c r="E394" s="1"/>
      <c r="F394" s="1"/>
      <c r="G394" s="1"/>
      <c r="H394" s="1"/>
      <c r="I394" s="1"/>
      <c r="J394" s="150"/>
    </row>
    <row r="395" spans="1:10" ht="294.75" customHeight="1" x14ac:dyDescent="0.25">
      <c r="A395" s="214"/>
      <c r="B395" s="150" t="s">
        <v>119</v>
      </c>
      <c r="C395" s="14"/>
      <c r="D395" s="1"/>
      <c r="E395" s="1"/>
      <c r="F395" s="1"/>
      <c r="G395" s="1"/>
      <c r="H395" s="1"/>
      <c r="I395" s="1"/>
      <c r="J395" s="150"/>
    </row>
    <row r="396" spans="1:10" ht="14.1" customHeight="1" x14ac:dyDescent="0.25">
      <c r="A396" s="214"/>
      <c r="C396" s="150" t="s">
        <v>119</v>
      </c>
      <c r="D396" s="156"/>
    </row>
    <row r="397" spans="1:10" ht="14.1" customHeight="1" x14ac:dyDescent="0.25">
      <c r="A397" s="214"/>
      <c r="B397" s="123"/>
      <c r="C397" s="235"/>
      <c r="D397" s="17"/>
      <c r="E397" s="235"/>
      <c r="F397" s="235"/>
      <c r="G397" s="235"/>
      <c r="H397" s="235"/>
      <c r="I397" s="235"/>
      <c r="J397" s="60"/>
    </row>
    <row r="398" spans="1:10" ht="14.1" customHeight="1" x14ac:dyDescent="0.25">
      <c r="A398" s="214"/>
      <c r="B398" s="72"/>
      <c r="C398" s="215" t="s">
        <v>112</v>
      </c>
      <c r="D398" s="156"/>
      <c r="E398" s="150"/>
      <c r="G398" s="150"/>
      <c r="H398" s="150"/>
      <c r="I398" s="150"/>
      <c r="J398" s="130"/>
    </row>
    <row r="399" spans="1:10" ht="14.1" customHeight="1" x14ac:dyDescent="0.25">
      <c r="A399" s="214"/>
      <c r="B399" s="72"/>
      <c r="C399" s="150"/>
      <c r="D399" s="156"/>
      <c r="E399" s="150"/>
      <c r="G399" s="150"/>
      <c r="H399" s="150"/>
      <c r="I399" s="150"/>
      <c r="J399" s="130"/>
    </row>
    <row r="400" spans="1:10" ht="14.1" customHeight="1" x14ac:dyDescent="0.25">
      <c r="A400" s="214"/>
      <c r="B400" s="72"/>
      <c r="C400" s="149" t="s">
        <v>113</v>
      </c>
      <c r="D400" s="185"/>
      <c r="E400" s="150"/>
      <c r="F400" s="150"/>
      <c r="G400" s="150"/>
      <c r="H400" s="150"/>
      <c r="I400" s="150"/>
      <c r="J400" s="130"/>
    </row>
    <row r="401" spans="1:10" ht="14.1" customHeight="1" x14ac:dyDescent="0.25">
      <c r="A401" s="214"/>
      <c r="B401" s="72"/>
      <c r="C401" s="255" t="s">
        <v>6</v>
      </c>
      <c r="D401" s="266">
        <v>3530</v>
      </c>
      <c r="E401" s="150"/>
      <c r="F401" s="150"/>
      <c r="G401" s="150"/>
      <c r="H401" s="150"/>
      <c r="I401" s="150"/>
      <c r="J401" s="130"/>
    </row>
    <row r="402" spans="1:10" ht="14.1" customHeight="1" x14ac:dyDescent="0.25">
      <c r="A402" s="214"/>
      <c r="B402" s="72"/>
      <c r="C402" s="244" t="s">
        <v>92</v>
      </c>
      <c r="D402" s="46">
        <v>2423</v>
      </c>
      <c r="E402" s="150"/>
      <c r="G402" s="150"/>
      <c r="H402" s="150"/>
      <c r="I402" s="150"/>
      <c r="J402" s="130"/>
    </row>
    <row r="403" spans="1:10" ht="14.1" customHeight="1" x14ac:dyDescent="0.25">
      <c r="A403" s="214"/>
      <c r="B403" s="72"/>
      <c r="C403" s="244" t="s">
        <v>75</v>
      </c>
      <c r="D403" s="46">
        <v>123</v>
      </c>
      <c r="E403" s="150"/>
      <c r="F403" s="150"/>
      <c r="G403" s="150"/>
      <c r="H403" s="150"/>
      <c r="I403" s="150"/>
      <c r="J403" s="130"/>
    </row>
    <row r="404" spans="1:10" ht="14.1" customHeight="1" x14ac:dyDescent="0.25">
      <c r="A404" s="214"/>
      <c r="B404" s="72"/>
      <c r="C404" s="57" t="s">
        <v>50</v>
      </c>
      <c r="D404" s="35">
        <v>6076</v>
      </c>
      <c r="E404" s="150"/>
      <c r="F404" s="150"/>
      <c r="G404" s="150"/>
      <c r="H404" s="150"/>
      <c r="I404" s="150"/>
      <c r="J404" s="130"/>
    </row>
    <row r="405" spans="1:10" ht="14.1" customHeight="1" x14ac:dyDescent="0.25">
      <c r="A405" s="214"/>
      <c r="B405" s="72"/>
      <c r="C405" s="288" t="s">
        <v>140</v>
      </c>
      <c r="D405" s="288"/>
      <c r="E405" s="288"/>
      <c r="F405" s="288"/>
      <c r="G405" s="288"/>
      <c r="H405" s="288"/>
      <c r="I405" s="150"/>
      <c r="J405" s="130"/>
    </row>
    <row r="406" spans="1:10" ht="14.1" customHeight="1" x14ac:dyDescent="0.25">
      <c r="A406" s="214"/>
      <c r="B406" s="72"/>
      <c r="C406" s="288"/>
      <c r="D406" s="288"/>
      <c r="E406" s="288"/>
      <c r="F406" s="288"/>
      <c r="G406" s="288"/>
      <c r="H406" s="288"/>
      <c r="I406" s="150"/>
      <c r="J406" s="130"/>
    </row>
    <row r="407" spans="1:10" ht="14.1" customHeight="1" x14ac:dyDescent="0.25">
      <c r="A407" s="214"/>
      <c r="B407" s="72"/>
      <c r="C407" s="150"/>
      <c r="D407" s="156"/>
      <c r="E407" s="150"/>
      <c r="F407" s="150"/>
      <c r="G407" s="150"/>
      <c r="H407" s="150"/>
      <c r="I407" s="150"/>
      <c r="J407" s="130"/>
    </row>
    <row r="408" spans="1:10" ht="14.1" customHeight="1" x14ac:dyDescent="0.25">
      <c r="A408" s="214"/>
      <c r="B408" s="72"/>
      <c r="C408" s="150"/>
      <c r="D408" s="150"/>
      <c r="E408" s="150"/>
      <c r="F408" s="150"/>
      <c r="G408" s="150"/>
      <c r="H408" s="150"/>
      <c r="I408" s="150"/>
      <c r="J408" s="130"/>
    </row>
    <row r="409" spans="1:10" ht="29.25" customHeight="1" x14ac:dyDescent="0.25">
      <c r="A409" s="214"/>
      <c r="B409" s="227"/>
      <c r="C409" s="230" t="s">
        <v>15</v>
      </c>
      <c r="D409" s="230"/>
      <c r="E409" s="230"/>
      <c r="F409" s="230"/>
      <c r="G409" s="230"/>
      <c r="H409" s="230"/>
      <c r="I409" s="230"/>
      <c r="J409" s="234"/>
    </row>
    <row r="410" spans="1:10" ht="78" customHeight="1" x14ac:dyDescent="0.25">
      <c r="A410" s="214"/>
      <c r="B410" s="198"/>
      <c r="C410" s="20" t="s">
        <v>114</v>
      </c>
      <c r="D410" s="22" t="s">
        <v>115</v>
      </c>
      <c r="E410" s="20" t="s">
        <v>142</v>
      </c>
      <c r="F410" s="20" t="s">
        <v>143</v>
      </c>
      <c r="G410" s="25" t="s">
        <v>144</v>
      </c>
      <c r="H410" s="20" t="s">
        <v>145</v>
      </c>
      <c r="I410" s="220"/>
      <c r="J410" s="13"/>
    </row>
    <row r="411" spans="1:10" ht="14.1" customHeight="1" x14ac:dyDescent="0.25">
      <c r="A411" s="214"/>
      <c r="B411" s="72"/>
      <c r="C411" s="261" t="s">
        <v>116</v>
      </c>
      <c r="D411" s="204">
        <v>1235</v>
      </c>
      <c r="E411" s="26">
        <f>SUM(E412:E413)</f>
        <v>0</v>
      </c>
      <c r="F411" s="26">
        <f>SUM(F412:F413)</f>
        <v>988.34123</v>
      </c>
      <c r="G411" s="85">
        <f>D411-F411</f>
        <v>246.65877</v>
      </c>
      <c r="H411" s="26">
        <f>SUM(H412:H413)</f>
        <v>1838.2897400000002</v>
      </c>
      <c r="I411" s="27"/>
      <c r="J411" s="130"/>
    </row>
    <row r="412" spans="1:10" ht="14.1" customHeight="1" x14ac:dyDescent="0.25">
      <c r="A412" s="214"/>
      <c r="B412" s="72"/>
      <c r="C412" s="29" t="s">
        <v>8</v>
      </c>
      <c r="E412" s="205">
        <f>0</f>
        <v>0</v>
      </c>
      <c r="F412" s="205">
        <f>753.71223</f>
        <v>753.71222999999998</v>
      </c>
      <c r="G412" s="206"/>
      <c r="H412" s="205">
        <f>1442.8911</f>
        <v>1442.8911000000001</v>
      </c>
      <c r="I412" s="150"/>
      <c r="J412" s="130"/>
    </row>
    <row r="413" spans="1:10" ht="14.1" customHeight="1" x14ac:dyDescent="0.25">
      <c r="A413" s="214"/>
      <c r="B413" s="72"/>
      <c r="C413" s="29" t="s">
        <v>11</v>
      </c>
      <c r="D413" s="207"/>
      <c r="E413" s="208">
        <f>0</f>
        <v>0</v>
      </c>
      <c r="F413" s="208">
        <f>234.629</f>
        <v>234.62899999999999</v>
      </c>
      <c r="G413" s="209"/>
      <c r="H413" s="208">
        <f>395.39864</f>
        <v>395.39864</v>
      </c>
      <c r="I413" s="150"/>
      <c r="J413" s="130"/>
    </row>
    <row r="414" spans="1:10" ht="14.1" customHeight="1" x14ac:dyDescent="0.25">
      <c r="A414" s="214"/>
      <c r="B414" s="72"/>
      <c r="C414" s="261" t="s">
        <v>117</v>
      </c>
      <c r="D414" s="10">
        <v>1060</v>
      </c>
      <c r="E414" s="26">
        <f>SUM(E415:E416)</f>
        <v>45.087199999999996</v>
      </c>
      <c r="F414" s="26">
        <f>SUM(F415:F416)</f>
        <v>367.94630000000001</v>
      </c>
      <c r="G414" s="85">
        <f>D414-F414</f>
        <v>692.05369999999994</v>
      </c>
      <c r="H414" s="26">
        <f>SUM(H415:H416)</f>
        <v>553.19425999999999</v>
      </c>
      <c r="I414" s="27"/>
      <c r="J414" s="130"/>
    </row>
    <row r="415" spans="1:10" ht="14.1" customHeight="1" x14ac:dyDescent="0.25">
      <c r="A415" s="214"/>
      <c r="B415" s="72"/>
      <c r="C415" s="29" t="s">
        <v>8</v>
      </c>
      <c r="D415" s="42"/>
      <c r="E415" s="30">
        <f>34.9375</f>
        <v>34.9375</v>
      </c>
      <c r="F415" s="30">
        <f>273.3095</f>
        <v>273.30950000000001</v>
      </c>
      <c r="G415" s="97"/>
      <c r="H415" s="30">
        <f>424.64584</f>
        <v>424.64584000000002</v>
      </c>
      <c r="I415" s="150"/>
      <c r="J415" s="130"/>
    </row>
    <row r="416" spans="1:10" ht="14.1" customHeight="1" x14ac:dyDescent="0.25">
      <c r="A416" s="214"/>
      <c r="B416" s="72"/>
      <c r="C416" s="29" t="s">
        <v>11</v>
      </c>
      <c r="D416" s="217"/>
      <c r="E416" s="30">
        <f>10.1497</f>
        <v>10.149699999999999</v>
      </c>
      <c r="F416" s="30">
        <f>94.6368</f>
        <v>94.636799999999994</v>
      </c>
      <c r="G416" s="108"/>
      <c r="H416" s="30">
        <f>128.54842</f>
        <v>128.54841999999999</v>
      </c>
      <c r="I416" s="150"/>
      <c r="J416" s="130"/>
    </row>
    <row r="417" spans="1:10" ht="14.1" customHeight="1" x14ac:dyDescent="0.25">
      <c r="A417" s="214"/>
      <c r="B417" s="72"/>
      <c r="C417" s="261" t="s">
        <v>118</v>
      </c>
      <c r="D417" s="10">
        <v>1235</v>
      </c>
      <c r="E417" s="36">
        <f>SUM(E418:E419)</f>
        <v>0</v>
      </c>
      <c r="F417" s="36">
        <f>SUM(F418:F419)</f>
        <v>0</v>
      </c>
      <c r="G417" s="85">
        <f>D417-F417</f>
        <v>1235</v>
      </c>
      <c r="H417" s="36">
        <f>SUM(H418:H419)</f>
        <v>0</v>
      </c>
      <c r="I417" s="150"/>
      <c r="J417" s="130"/>
    </row>
    <row r="418" spans="1:10" ht="14.1" customHeight="1" x14ac:dyDescent="0.25">
      <c r="A418" s="214"/>
      <c r="B418" s="72"/>
      <c r="C418" s="29" t="s">
        <v>8</v>
      </c>
      <c r="D418" s="42"/>
      <c r="E418" s="30">
        <f>0</f>
        <v>0</v>
      </c>
      <c r="F418" s="30">
        <f>0</f>
        <v>0</v>
      </c>
      <c r="G418" s="97"/>
      <c r="H418" s="30">
        <f>0</f>
        <v>0</v>
      </c>
      <c r="I418" s="150"/>
      <c r="J418" s="130"/>
    </row>
    <row r="419" spans="1:10" ht="14.1" customHeight="1" x14ac:dyDescent="0.25">
      <c r="A419" s="214"/>
      <c r="B419" s="72"/>
      <c r="C419" s="29" t="s">
        <v>11</v>
      </c>
      <c r="D419" s="217"/>
      <c r="E419" s="30">
        <f>0</f>
        <v>0</v>
      </c>
      <c r="F419" s="30">
        <f>0</f>
        <v>0</v>
      </c>
      <c r="G419" s="108"/>
      <c r="H419" s="30">
        <f>0</f>
        <v>0</v>
      </c>
      <c r="I419" s="150"/>
      <c r="J419" s="130"/>
    </row>
    <row r="420" spans="1:10" ht="14.1" customHeight="1" x14ac:dyDescent="0.25">
      <c r="A420" s="214"/>
      <c r="B420" s="72"/>
      <c r="C420" s="275" t="s">
        <v>98</v>
      </c>
      <c r="D420" s="37"/>
      <c r="E420" s="94">
        <f>0</f>
        <v>0</v>
      </c>
      <c r="F420" s="94">
        <f>0</f>
        <v>0</v>
      </c>
      <c r="G420" s="94">
        <f>D420-F420</f>
        <v>0</v>
      </c>
      <c r="H420" s="94">
        <f>0</f>
        <v>0</v>
      </c>
      <c r="I420" s="150"/>
      <c r="J420" s="130"/>
    </row>
    <row r="421" spans="1:10" ht="14.1" customHeight="1" x14ac:dyDescent="0.25">
      <c r="A421" s="214"/>
      <c r="B421" s="72"/>
      <c r="C421" s="281" t="s">
        <v>88</v>
      </c>
      <c r="D421" s="39"/>
      <c r="E421" s="40">
        <f>E411+E414+E417+E420</f>
        <v>45.087199999999996</v>
      </c>
      <c r="F421" s="40">
        <f>F411+F414+F417+F420</f>
        <v>1356.2875300000001</v>
      </c>
      <c r="G421" s="41"/>
      <c r="H421" s="40">
        <f>H411+H414+H417+H420</f>
        <v>2391.4840000000004</v>
      </c>
      <c r="I421" s="27"/>
      <c r="J421" s="130"/>
    </row>
    <row r="422" spans="1:10" ht="42" customHeight="1" x14ac:dyDescent="0.25">
      <c r="A422" s="214"/>
      <c r="B422" s="72"/>
      <c r="C422" s="289" t="s">
        <v>141</v>
      </c>
      <c r="D422" s="289"/>
      <c r="E422" s="289"/>
      <c r="F422" s="289"/>
      <c r="G422" s="289"/>
      <c r="H422" s="289"/>
      <c r="I422" s="289"/>
      <c r="J422" s="290"/>
    </row>
    <row r="423" spans="1:10" ht="14.1" customHeight="1" x14ac:dyDescent="0.25">
      <c r="A423" s="214"/>
      <c r="B423" s="8"/>
      <c r="C423" s="210"/>
      <c r="D423" s="199"/>
      <c r="E423" s="210"/>
      <c r="F423" s="210"/>
      <c r="G423" s="210"/>
      <c r="H423" s="210"/>
      <c r="I423" s="210"/>
      <c r="J423" s="12"/>
    </row>
    <row r="424" spans="1:10" ht="0" hidden="1" customHeight="1" x14ac:dyDescent="0.25"/>
    <row r="425" spans="1:10" ht="0" hidden="1" customHeight="1" x14ac:dyDescent="0.25"/>
    <row r="426" spans="1:10" ht="0" hidden="1" customHeight="1" x14ac:dyDescent="0.25"/>
    <row r="427" spans="1:10" ht="0" hidden="1" customHeight="1" x14ac:dyDescent="0.25"/>
    <row r="428" spans="1:10" ht="0" hidden="1" customHeight="1" x14ac:dyDescent="0.25"/>
    <row r="429" spans="1:10" ht="0" hidden="1" customHeight="1" x14ac:dyDescent="0.25"/>
    <row r="430" spans="1:10" ht="0" hidden="1" customHeight="1" x14ac:dyDescent="0.25"/>
    <row r="431" spans="1:10" ht="0" hidden="1" customHeight="1" x14ac:dyDescent="0.25"/>
    <row r="432" spans="1:10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0" hidden="1" customHeight="1" x14ac:dyDescent="0.25"/>
    <row r="65545" ht="0" hidden="1" customHeight="1" x14ac:dyDescent="0.25"/>
    <row r="65546" ht="0" hidden="1" customHeight="1" x14ac:dyDescent="0.25"/>
    <row r="65547" ht="0" hidden="1" customHeight="1" x14ac:dyDescent="0.25"/>
    <row r="65548" ht="0" hidden="1" customHeight="1" x14ac:dyDescent="0.25"/>
    <row r="65549" ht="0" hidden="1" customHeight="1" x14ac:dyDescent="0.25"/>
    <row r="65550" ht="0" hidden="1" customHeight="1" x14ac:dyDescent="0.25"/>
    <row r="65551" ht="0" hidden="1" customHeight="1" x14ac:dyDescent="0.25"/>
    <row r="65552" ht="0" hidden="1" customHeight="1" x14ac:dyDescent="0.25"/>
    <row r="65553" ht="0" hidden="1" customHeight="1" x14ac:dyDescent="0.25"/>
    <row r="65554" ht="0" hidden="1" customHeight="1" x14ac:dyDescent="0.25"/>
    <row r="65555" ht="0" hidden="1" customHeight="1" x14ac:dyDescent="0.25"/>
    <row r="65556" ht="0" hidden="1" customHeight="1" x14ac:dyDescent="0.25"/>
    <row r="65557" ht="0" hidden="1" customHeight="1" x14ac:dyDescent="0.25"/>
    <row r="65558" ht="0" hidden="1" customHeight="1" x14ac:dyDescent="0.25"/>
    <row r="65559" ht="0" hidden="1" customHeight="1" x14ac:dyDescent="0.25"/>
    <row r="65560" ht="0" hidden="1" customHeight="1" x14ac:dyDescent="0.25"/>
    <row r="65561" ht="0" hidden="1" customHeight="1" x14ac:dyDescent="0.25"/>
    <row r="65562" ht="0" hidden="1" customHeight="1" x14ac:dyDescent="0.25"/>
    <row r="65563" ht="0" hidden="1" customHeight="1" x14ac:dyDescent="0.25"/>
    <row r="65564" ht="0" hidden="1" customHeight="1" x14ac:dyDescent="0.25"/>
    <row r="65565" ht="0" hidden="1" customHeight="1" x14ac:dyDescent="0.25"/>
    <row r="65566" ht="0" hidden="1" customHeight="1" x14ac:dyDescent="0.25"/>
    <row r="65567" ht="0" hidden="1" customHeight="1" x14ac:dyDescent="0.25"/>
    <row r="65568" ht="0" hidden="1" customHeight="1" x14ac:dyDescent="0.25"/>
    <row r="65569" ht="0" hidden="1" customHeight="1" x14ac:dyDescent="0.25"/>
    <row r="65570" ht="0" hidden="1" customHeight="1" x14ac:dyDescent="0.25"/>
    <row r="65571" ht="0" hidden="1" customHeight="1" x14ac:dyDescent="0.25"/>
    <row r="65572" ht="0" hidden="1" customHeight="1" x14ac:dyDescent="0.25"/>
    <row r="65573" ht="0" hidden="1" customHeight="1" x14ac:dyDescent="0.25"/>
    <row r="65574" ht="0" hidden="1" customHeight="1" x14ac:dyDescent="0.25"/>
    <row r="65575" ht="0" hidden="1" customHeight="1" x14ac:dyDescent="0.25"/>
    <row r="65576" ht="0" hidden="1" customHeight="1" x14ac:dyDescent="0.25"/>
    <row r="65577" ht="0" hidden="1" customHeight="1" x14ac:dyDescent="0.25"/>
    <row r="65578" ht="0" hidden="1" customHeight="1" x14ac:dyDescent="0.25"/>
    <row r="65579" ht="0" hidden="1" customHeight="1" x14ac:dyDescent="0.25"/>
    <row r="65580" ht="0" hidden="1" customHeight="1" x14ac:dyDescent="0.25"/>
    <row r="65581" ht="0" hidden="1" customHeight="1" x14ac:dyDescent="0.25"/>
    <row r="65582" ht="0" hidden="1" customHeight="1" x14ac:dyDescent="0.25"/>
    <row r="65583" ht="0" hidden="1" customHeight="1" x14ac:dyDescent="0.25"/>
    <row r="65584" ht="0" hidden="1" customHeight="1" x14ac:dyDescent="0.25"/>
    <row r="65585" ht="0" hidden="1" customHeight="1" x14ac:dyDescent="0.25"/>
    <row r="65586" ht="0" hidden="1" customHeight="1" x14ac:dyDescent="0.25"/>
    <row r="65587" ht="0" hidden="1" customHeight="1" x14ac:dyDescent="0.25"/>
    <row r="65588" ht="0" hidden="1" customHeight="1" x14ac:dyDescent="0.25"/>
    <row r="65589" ht="0" hidden="1" customHeight="1" x14ac:dyDescent="0.25"/>
    <row r="65590" ht="0" hidden="1" customHeight="1" x14ac:dyDescent="0.25"/>
    <row r="65591" ht="0" hidden="1" customHeight="1" x14ac:dyDescent="0.25"/>
    <row r="65592" ht="0" hidden="1" customHeight="1" x14ac:dyDescent="0.25"/>
    <row r="65593" ht="0" hidden="1" customHeight="1" x14ac:dyDescent="0.25"/>
    <row r="65594" ht="0" hidden="1" customHeight="1" x14ac:dyDescent="0.25"/>
    <row r="65595" ht="0" hidden="1" customHeight="1" x14ac:dyDescent="0.25"/>
    <row r="65596" ht="0" hidden="1" customHeight="1" x14ac:dyDescent="0.25"/>
    <row r="65597" ht="0" hidden="1" customHeight="1" x14ac:dyDescent="0.25"/>
    <row r="65598" ht="0" hidden="1" customHeight="1" x14ac:dyDescent="0.25"/>
    <row r="65599" ht="0" hidden="1" customHeight="1" x14ac:dyDescent="0.25"/>
    <row r="65600" ht="0" hidden="1" customHeight="1" x14ac:dyDescent="0.25"/>
    <row r="65601" ht="0" hidden="1" customHeight="1" x14ac:dyDescent="0.25"/>
    <row r="65602" ht="0" hidden="1" customHeight="1" x14ac:dyDescent="0.25"/>
    <row r="65603" ht="0" hidden="1" customHeight="1" x14ac:dyDescent="0.25"/>
    <row r="65604" ht="0" hidden="1" customHeight="1" x14ac:dyDescent="0.25"/>
    <row r="65605" ht="0" hidden="1" customHeight="1" x14ac:dyDescent="0.25"/>
    <row r="65606" ht="0" hidden="1" customHeight="1" x14ac:dyDescent="0.25"/>
    <row r="65607" ht="0" hidden="1" customHeight="1" x14ac:dyDescent="0.25"/>
    <row r="65608" ht="16.5" customHeight="1" x14ac:dyDescent="0.25"/>
  </sheetData>
  <mergeCells count="13">
    <mergeCell ref="B2:J2"/>
    <mergeCell ref="B9:J9"/>
    <mergeCell ref="C11:D11"/>
    <mergeCell ref="E11:F11"/>
    <mergeCell ref="G11:H11"/>
    <mergeCell ref="C405:H406"/>
    <mergeCell ref="C422:J422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50&amp;R18.12.2023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2023-12-18T08:13:47Z</dcterms:modified>
</cp:coreProperties>
</file>