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CE6261A8-BB75-463B-B9CA-9C14767CE5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8" i="1" l="1"/>
  <c r="G259" i="1"/>
  <c r="G132" i="1" l="1"/>
  <c r="H132" i="1" s="1"/>
  <c r="D331" i="1"/>
  <c r="H329" i="1"/>
  <c r="H327" i="1" s="1"/>
  <c r="F329" i="1"/>
  <c r="E329" i="1"/>
  <c r="E327" i="1" s="1"/>
  <c r="H328" i="1"/>
  <c r="F328" i="1"/>
  <c r="F327" i="1" s="1"/>
  <c r="G327" i="1" s="1"/>
  <c r="E328" i="1"/>
  <c r="H326" i="1"/>
  <c r="F326" i="1"/>
  <c r="E326" i="1"/>
  <c r="E324" i="1" s="1"/>
  <c r="H325" i="1"/>
  <c r="F325" i="1"/>
  <c r="F324" i="1" s="1"/>
  <c r="G324" i="1" s="1"/>
  <c r="E325" i="1"/>
  <c r="H324" i="1"/>
  <c r="H323" i="1"/>
  <c r="H321" i="1" s="1"/>
  <c r="F323" i="1"/>
  <c r="E323" i="1"/>
  <c r="E321" i="1" s="1"/>
  <c r="H322" i="1"/>
  <c r="F322" i="1"/>
  <c r="E322" i="1"/>
  <c r="F321" i="1"/>
  <c r="D299" i="1"/>
  <c r="I298" i="1"/>
  <c r="G298" i="1"/>
  <c r="H298" i="1" s="1"/>
  <c r="F298" i="1"/>
  <c r="I297" i="1"/>
  <c r="G297" i="1"/>
  <c r="H297" i="1" s="1"/>
  <c r="F297" i="1"/>
  <c r="I296" i="1"/>
  <c r="I294" i="1" s="1"/>
  <c r="G296" i="1"/>
  <c r="F296" i="1"/>
  <c r="F294" i="1" s="1"/>
  <c r="I295" i="1"/>
  <c r="G295" i="1"/>
  <c r="F295" i="1"/>
  <c r="G294" i="1"/>
  <c r="H294" i="1" s="1"/>
  <c r="I293" i="1"/>
  <c r="G293" i="1"/>
  <c r="H293" i="1" s="1"/>
  <c r="F293" i="1"/>
  <c r="I292" i="1"/>
  <c r="G292" i="1"/>
  <c r="H292" i="1" s="1"/>
  <c r="F292" i="1"/>
  <c r="I291" i="1"/>
  <c r="G291" i="1"/>
  <c r="H291" i="1" s="1"/>
  <c r="F291" i="1"/>
  <c r="F288" i="1" s="1"/>
  <c r="F299" i="1" s="1"/>
  <c r="I290" i="1"/>
  <c r="G290" i="1"/>
  <c r="H290" i="1" s="1"/>
  <c r="F290" i="1"/>
  <c r="I289" i="1"/>
  <c r="G289" i="1"/>
  <c r="H289" i="1" s="1"/>
  <c r="F289" i="1"/>
  <c r="I288" i="1"/>
  <c r="I299" i="1" s="1"/>
  <c r="G288" i="1"/>
  <c r="G299" i="1" s="1"/>
  <c r="E288" i="1"/>
  <c r="E299" i="1" s="1"/>
  <c r="D288" i="1"/>
  <c r="H280" i="1"/>
  <c r="F280" i="1"/>
  <c r="D262" i="1"/>
  <c r="H261" i="1"/>
  <c r="F261" i="1"/>
  <c r="E261" i="1"/>
  <c r="H260" i="1"/>
  <c r="F260" i="1"/>
  <c r="F262" i="1" s="1"/>
  <c r="G262" i="1" s="1"/>
  <c r="E260" i="1"/>
  <c r="H259" i="1"/>
  <c r="F259" i="1"/>
  <c r="E259" i="1"/>
  <c r="H258" i="1"/>
  <c r="H262" i="1" s="1"/>
  <c r="F258" i="1"/>
  <c r="E258" i="1"/>
  <c r="E262" i="1" s="1"/>
  <c r="D251" i="1"/>
  <c r="F207" i="1"/>
  <c r="D207" i="1"/>
  <c r="G207" i="1" s="1"/>
  <c r="G206" i="1"/>
  <c r="H205" i="1"/>
  <c r="F205" i="1"/>
  <c r="G205" i="1" s="1"/>
  <c r="E205" i="1"/>
  <c r="H204" i="1"/>
  <c r="H207" i="1" s="1"/>
  <c r="F204" i="1"/>
  <c r="G204" i="1" s="1"/>
  <c r="E204" i="1"/>
  <c r="E207" i="1" s="1"/>
  <c r="D184" i="1"/>
  <c r="H182" i="1"/>
  <c r="F182" i="1"/>
  <c r="G182" i="1" s="1"/>
  <c r="E182" i="1"/>
  <c r="H181" i="1"/>
  <c r="F181" i="1"/>
  <c r="E181" i="1"/>
  <c r="H180" i="1"/>
  <c r="F180" i="1"/>
  <c r="E180" i="1"/>
  <c r="E178" i="1" s="1"/>
  <c r="H179" i="1"/>
  <c r="H178" i="1" s="1"/>
  <c r="H184" i="1" s="1"/>
  <c r="F179" i="1"/>
  <c r="F178" i="1" s="1"/>
  <c r="G178" i="1" s="1"/>
  <c r="E179" i="1"/>
  <c r="H177" i="1"/>
  <c r="F177" i="1"/>
  <c r="G177" i="1" s="1"/>
  <c r="E177" i="1"/>
  <c r="H176" i="1"/>
  <c r="F176" i="1"/>
  <c r="E176" i="1"/>
  <c r="H175" i="1"/>
  <c r="F175" i="1"/>
  <c r="E175" i="1"/>
  <c r="D150" i="1"/>
  <c r="H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I139" i="1" s="1"/>
  <c r="I133" i="1" s="1"/>
  <c r="G140" i="1"/>
  <c r="G139" i="1" s="1"/>
  <c r="F140" i="1"/>
  <c r="F139" i="1" s="1"/>
  <c r="E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I134" i="1"/>
  <c r="G134" i="1"/>
  <c r="E134" i="1"/>
  <c r="E133" i="1"/>
  <c r="I132" i="1"/>
  <c r="F132" i="1"/>
  <c r="H131" i="1"/>
  <c r="I130" i="1"/>
  <c r="G130" i="1"/>
  <c r="H130" i="1" s="1"/>
  <c r="F130" i="1"/>
  <c r="I129" i="1"/>
  <c r="G129" i="1"/>
  <c r="H129" i="1" s="1"/>
  <c r="H128" i="1" s="1"/>
  <c r="F129" i="1"/>
  <c r="I128" i="1"/>
  <c r="I150" i="1" s="1"/>
  <c r="G128" i="1"/>
  <c r="F128" i="1"/>
  <c r="E128" i="1"/>
  <c r="E150" i="1" s="1"/>
  <c r="C126" i="1"/>
  <c r="D107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I97" i="1"/>
  <c r="I96" i="1" s="1"/>
  <c r="I95" i="1" s="1"/>
  <c r="I107" i="1" s="1"/>
  <c r="H97" i="1"/>
  <c r="G97" i="1"/>
  <c r="F97" i="1"/>
  <c r="F96" i="1" s="1"/>
  <c r="F95" i="1" s="1"/>
  <c r="G96" i="1"/>
  <c r="E96" i="1"/>
  <c r="E95" i="1" s="1"/>
  <c r="E107" i="1" s="1"/>
  <c r="G95" i="1"/>
  <c r="I94" i="1"/>
  <c r="G94" i="1"/>
  <c r="G92" i="1" s="1"/>
  <c r="G107" i="1" s="1"/>
  <c r="F94" i="1"/>
  <c r="I93" i="1"/>
  <c r="G93" i="1"/>
  <c r="H93" i="1" s="1"/>
  <c r="F93" i="1"/>
  <c r="I92" i="1"/>
  <c r="F92" i="1"/>
  <c r="F107" i="1" s="1"/>
  <c r="E92" i="1"/>
  <c r="C89" i="1"/>
  <c r="H85" i="1"/>
  <c r="F85" i="1"/>
  <c r="D85" i="1"/>
  <c r="G61" i="1"/>
  <c r="G60" i="1"/>
  <c r="H55" i="1"/>
  <c r="I32" i="1" s="1"/>
  <c r="I27" i="1" s="1"/>
  <c r="I26" i="1" s="1"/>
  <c r="F55" i="1"/>
  <c r="G55" i="1" s="1"/>
  <c r="E55" i="1"/>
  <c r="F32" i="1" s="1"/>
  <c r="F27" i="1" s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G34" i="1" s="1"/>
  <c r="F36" i="1"/>
  <c r="F34" i="1" s="1"/>
  <c r="I35" i="1"/>
  <c r="G35" i="1"/>
  <c r="H35" i="1" s="1"/>
  <c r="F35" i="1"/>
  <c r="I34" i="1"/>
  <c r="E34" i="1"/>
  <c r="H34" i="1" s="1"/>
  <c r="I33" i="1"/>
  <c r="H33" i="1"/>
  <c r="G33" i="1"/>
  <c r="F33" i="1"/>
  <c r="G32" i="1"/>
  <c r="H32" i="1" s="1"/>
  <c r="I31" i="1"/>
  <c r="H31" i="1"/>
  <c r="G31" i="1"/>
  <c r="F31" i="1"/>
  <c r="I30" i="1"/>
  <c r="G30" i="1"/>
  <c r="H30" i="1" s="1"/>
  <c r="F30" i="1"/>
  <c r="I29" i="1"/>
  <c r="H29" i="1"/>
  <c r="G29" i="1"/>
  <c r="F29" i="1"/>
  <c r="I28" i="1"/>
  <c r="G28" i="1"/>
  <c r="G27" i="1" s="1"/>
  <c r="F28" i="1"/>
  <c r="E27" i="1"/>
  <c r="E26" i="1"/>
  <c r="I25" i="1"/>
  <c r="G25" i="1"/>
  <c r="H25" i="1" s="1"/>
  <c r="H23" i="1" s="1"/>
  <c r="F25" i="1"/>
  <c r="I24" i="1"/>
  <c r="I23" i="1" s="1"/>
  <c r="G24" i="1"/>
  <c r="H24" i="1" s="1"/>
  <c r="F24" i="1"/>
  <c r="F23" i="1"/>
  <c r="E23" i="1"/>
  <c r="E44" i="1" s="1"/>
  <c r="H16" i="1"/>
  <c r="F16" i="1"/>
  <c r="D16" i="1"/>
  <c r="E331" i="1" l="1"/>
  <c r="H288" i="1"/>
  <c r="H299" i="1" s="1"/>
  <c r="H134" i="1"/>
  <c r="H331" i="1"/>
  <c r="F26" i="1"/>
  <c r="F44" i="1" s="1"/>
  <c r="G133" i="1"/>
  <c r="G150" i="1" s="1"/>
  <c r="H44" i="1"/>
  <c r="G26" i="1"/>
  <c r="E184" i="1"/>
  <c r="F331" i="1"/>
  <c r="I44" i="1"/>
  <c r="H96" i="1"/>
  <c r="H95" i="1" s="1"/>
  <c r="F133" i="1"/>
  <c r="F150" i="1" s="1"/>
  <c r="F184" i="1"/>
  <c r="G184" i="1" s="1"/>
  <c r="H26" i="1"/>
  <c r="G23" i="1"/>
  <c r="G44" i="1" s="1"/>
  <c r="H36" i="1"/>
  <c r="H94" i="1"/>
  <c r="H92" i="1" s="1"/>
  <c r="H140" i="1"/>
  <c r="H139" i="1" s="1"/>
  <c r="G175" i="1"/>
  <c r="G321" i="1"/>
  <c r="G331" i="1" s="1"/>
  <c r="H28" i="1"/>
  <c r="H27" i="1" s="1"/>
  <c r="G260" i="1"/>
  <c r="H133" i="1" l="1"/>
  <c r="H150" i="1" s="1"/>
  <c r="H107" i="1"/>
</calcChain>
</file>

<file path=xl/sharedStrings.xml><?xml version="1.0" encoding="utf-8"?>
<sst xmlns="http://schemas.openxmlformats.org/spreadsheetml/2006/main" count="328" uniqueCount="146">
  <si>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</si>
  <si>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</si>
  <si>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</si>
  <si>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</si>
  <si>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</si>
  <si>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</si>
  <si>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</si>
  <si>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</si>
  <si>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</si>
  <si>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</si>
  <si>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</si>
  <si>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</si>
  <si>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</si>
  <si>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</si>
  <si>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</si>
  <si>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</si>
  <si>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</si>
  <si>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</si>
  <si>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</si>
  <si>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</si>
  <si>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</si>
  <si>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</si>
  <si>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</si>
  <si>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</si>
  <si>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</si>
  <si>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</si>
  <si>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</si>
  <si>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</si>
  <si>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</si>
  <si>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</si>
  <si>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</si>
  <si>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</si>
  <si>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</si>
  <si>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</si>
  <si>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</si>
  <si>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</si>
  <si>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</si>
  <si>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</si>
  <si>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</si>
  <si>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</si>
  <si>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</si>
  <si>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</si>
  <si>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</si>
  <si>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</si>
  <si>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</si>
  <si>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</si>
  <si>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</si>
  <si>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</si>
  <si>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</si>
  <si>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</si>
  <si>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</si>
  <si>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</si>
  <si>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</si>
  <si>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</si>
  <si>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</si>
  <si>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</si>
  <si>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</si>
  <si>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</si>
  <si>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</si>
  <si>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</si>
  <si>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</si>
  <si>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</si>
  <si>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</si>
  <si>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</si>
  <si>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</si>
  <si>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</si>
  <si>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</si>
  <si>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</si>
  <si>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</si>
  <si>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</si>
  <si>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</si>
  <si>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</si>
  <si>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</si>
  <si>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</si>
  <si>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</si>
  <si>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</si>
  <si>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</si>
  <si>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</si>
  <si>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</si>
  <si>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</si>
  <si>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</si>
  <si>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</si>
  <si>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</si>
  <si>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</si>
  <si>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</si>
  <si>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</si>
  <si>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</si>
  <si>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</si>
  <si>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</si>
  <si>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</si>
  <si>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</si>
  <si>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</si>
  <si>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</si>
  <si>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</si>
  <si>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</si>
  <si>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</si>
  <si>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</si>
  <si>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</si>
  <si>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</si>
  <si>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</si>
  <si>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</si>
  <si>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</si>
  <si>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</si>
  <si>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</si>
  <si>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</si>
  <si>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</si>
  <si>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</si>
  <si>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</si>
  <si>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</si>
  <si>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</si>
  <si>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</si>
  <si>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</si>
  <si>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</si>
  <si>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</si>
  <si>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</si>
  <si>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</si>
  <si>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</si>
  <si>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</si>
  <si>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</si>
  <si>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</si>
  <si>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</si>
  <si>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</si>
  <si>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</si>
  <si>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</si>
  <si>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</si>
  <si>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</si>
  <si>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</si>
  <si>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</si>
  <si>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</si>
  <si>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</si>
  <si>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</si>
  <si>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</si>
  <si>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</si>
  <si>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</si>
  <si>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</si>
  <si>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</si>
  <si>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</si>
  <si>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</si>
  <si>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t>FANGST UKE 3</t>
  </si>
  <si>
    <t>FANGST T.O.M UKE 3</t>
  </si>
  <si>
    <t>RESTKVOTER UKE 3</t>
  </si>
  <si>
    <t>FANGST T.O.M UKE 3 2022</t>
  </si>
  <si>
    <r>
      <t xml:space="preserve">3 </t>
    </r>
    <r>
      <rPr>
        <sz val="9"/>
        <color indexed="8"/>
        <rFont val="Calibri"/>
        <family val="2"/>
      </rPr>
      <t>Registrert rekreasjonsfiske utgjør 22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</si>
  <si>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1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</si>
  <si>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17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</si>
  <si>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141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</si>
</sst>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0" fontId="1" fillId="0" borderId="4" xfId="0" applyFont="1" applyBorder="1"/>
    <xf numFmtId="1" fontId="12" fillId="0" borderId="38" xfId="0" applyNumberFormat="1" applyFont="1" applyBorder="1" applyAlignment="1">
      <alignment vertical="center"/>
    </xf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topLeftCell="A205" zoomScale="85" zoomScaleNormal="85" zoomScaleSheetLayoutView="100" zoomScalePageLayoutView="85" workbookViewId="0">
      <selection activeCell="L254" sqref="L254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0" t="s">
        <v>137</v>
      </c>
      <c r="C2" s="291"/>
      <c r="D2" s="291"/>
      <c r="E2" s="291"/>
      <c r="F2" s="291"/>
      <c r="G2" s="291"/>
      <c r="H2" s="291"/>
      <c r="I2" s="291"/>
      <c r="J2" s="292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3"/>
      <c r="C9" s="294"/>
      <c r="D9" s="294"/>
      <c r="E9" s="294"/>
      <c r="F9" s="294"/>
      <c r="G9" s="294"/>
      <c r="H9" s="294"/>
      <c r="I9" s="294"/>
      <c r="J9" s="295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77193</v>
      </c>
      <c r="G12" s="117" t="s">
        <v>5</v>
      </c>
      <c r="H12" s="116">
        <v>21013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164035</v>
      </c>
      <c r="G13" s="117" t="s">
        <v>8</v>
      </c>
      <c r="H13" s="119">
        <v>117222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14760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8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260782</v>
      </c>
      <c r="G16" s="180" t="s">
        <v>7</v>
      </c>
      <c r="H16" s="192">
        <f>SUM(H12:H15)</f>
        <v>164035</v>
      </c>
      <c r="J16" s="242"/>
    </row>
    <row r="17" spans="1:10" ht="15" customHeight="1" x14ac:dyDescent="0.25">
      <c r="A17" s="101"/>
      <c r="B17" s="24"/>
      <c r="C17" s="101"/>
      <c r="D17" s="101"/>
      <c r="E17" s="101"/>
      <c r="F17" s="101"/>
      <c r="G17" s="101"/>
      <c r="H17" s="101"/>
      <c r="I17" s="101"/>
      <c r="J17" s="156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138</v>
      </c>
      <c r="G22" s="68" t="s">
        <v>139</v>
      </c>
      <c r="H22" s="68" t="s">
        <v>140</v>
      </c>
      <c r="I22" s="68" t="s">
        <v>141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77193</v>
      </c>
      <c r="E23" s="28">
        <f t="shared" ref="E23:I23" si="0">E25+E24</f>
        <v>77193</v>
      </c>
      <c r="F23" s="28">
        <f t="shared" si="0"/>
        <v>1409.04333</v>
      </c>
      <c r="G23" s="28">
        <f t="shared" si="0"/>
        <v>2636.9403299999999</v>
      </c>
      <c r="H23" s="11">
        <f t="shared" si="0"/>
        <v>74556.059670000002</v>
      </c>
      <c r="I23" s="11">
        <f t="shared" si="0"/>
        <v>3401.95264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76443</v>
      </c>
      <c r="E24" s="48">
        <v>76443</v>
      </c>
      <c r="F24" s="23">
        <f>1409.04333</f>
        <v>1409.04333</v>
      </c>
      <c r="G24" s="23">
        <f>2608.39983</f>
        <v>2608.3998299999998</v>
      </c>
      <c r="H24" s="23">
        <f>E24-G24</f>
        <v>73834.600170000005</v>
      </c>
      <c r="I24" s="23">
        <f>3382.45886</f>
        <v>3382.4588600000002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750</v>
      </c>
      <c r="F25" s="173">
        <f>0</f>
        <v>0</v>
      </c>
      <c r="G25" s="23">
        <f>28.5405</f>
        <v>28.540500000000002</v>
      </c>
      <c r="H25" s="23">
        <f>E25-G25</f>
        <v>721.45950000000005</v>
      </c>
      <c r="I25" s="23">
        <f>19.49378</f>
        <v>19.493780000000001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169338</v>
      </c>
      <c r="E26" s="28">
        <f t="shared" ref="E26:I26" si="1">E34+E33+E27</f>
        <v>169338</v>
      </c>
      <c r="F26" s="28">
        <f t="shared" si="1"/>
        <v>2354.2964900000002</v>
      </c>
      <c r="G26" s="11">
        <f t="shared" si="1"/>
        <v>5676.9147200000007</v>
      </c>
      <c r="H26" s="11">
        <f t="shared" si="1"/>
        <v>163661.08528</v>
      </c>
      <c r="I26" s="11">
        <f t="shared" si="1"/>
        <v>5390.55573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132365</v>
      </c>
      <c r="E27" s="60">
        <f t="shared" ref="E27:I27" si="2">E28+E29+E30+E31+E32</f>
        <v>132365</v>
      </c>
      <c r="F27" s="134">
        <f>F28+F29+F30+F31+F32</f>
        <v>1750.0160100000001</v>
      </c>
      <c r="G27" s="134">
        <f t="shared" si="2"/>
        <v>4533.16183</v>
      </c>
      <c r="H27" s="134">
        <f t="shared" si="2"/>
        <v>127831.83817</v>
      </c>
      <c r="I27" s="134">
        <f t="shared" si="2"/>
        <v>4300.5232299999998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31737</v>
      </c>
      <c r="E28" s="65">
        <v>31737</v>
      </c>
      <c r="F28" s="205">
        <f>551.1012</f>
        <v>551.10119999999995</v>
      </c>
      <c r="G28" s="129">
        <f>1410.90478 - F57</f>
        <v>1410.9047800000001</v>
      </c>
      <c r="H28" s="129">
        <f t="shared" ref="H28:H40" si="3">E28-G28</f>
        <v>30326.095219999999</v>
      </c>
      <c r="I28" s="129">
        <f>922.13929 - H57</f>
        <v>922.13928999999996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35412</v>
      </c>
      <c r="E29" s="65">
        <v>35412</v>
      </c>
      <c r="F29" s="129">
        <f>676.61633</f>
        <v>676.61632999999995</v>
      </c>
      <c r="G29" s="129">
        <f>1848.12964 - F58</f>
        <v>1848.1296400000001</v>
      </c>
      <c r="H29" s="129">
        <f t="shared" si="3"/>
        <v>33563.870360000001</v>
      </c>
      <c r="I29" s="129">
        <f>1600.01127 - H58</f>
        <v>1600.01127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32013</v>
      </c>
      <c r="E30" s="65">
        <v>32013</v>
      </c>
      <c r="F30" s="129">
        <f>353.18764</f>
        <v>353.18763999999999</v>
      </c>
      <c r="G30" s="129">
        <f>824.11857 - F59</f>
        <v>824.11856999999998</v>
      </c>
      <c r="H30" s="129">
        <f t="shared" si="3"/>
        <v>31188.881430000001</v>
      </c>
      <c r="I30" s="129">
        <f>1063.20557 - H59</f>
        <v>1063.2055700000001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23363</v>
      </c>
      <c r="E31" s="65">
        <v>23363</v>
      </c>
      <c r="F31" s="129">
        <f>169.11084</f>
        <v>169.11084</v>
      </c>
      <c r="G31" s="129">
        <f>450.00884 - F60</f>
        <v>450.00884000000002</v>
      </c>
      <c r="H31" s="129">
        <f t="shared" si="3"/>
        <v>22912.991160000001</v>
      </c>
      <c r="I31" s="129">
        <f>715.1671 - H60</f>
        <v>715.1671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9840</v>
      </c>
      <c r="F32" s="129">
        <f>E55</f>
        <v>0</v>
      </c>
      <c r="G32" s="129">
        <f>F55</f>
        <v>0</v>
      </c>
      <c r="H32" s="129">
        <f t="shared" si="3"/>
        <v>9840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21013</v>
      </c>
      <c r="E33" s="60">
        <v>21013</v>
      </c>
      <c r="F33" s="134">
        <f>388.77289</f>
        <v>388.77289000000002</v>
      </c>
      <c r="G33" s="134">
        <f>588.13876</f>
        <v>588.13876000000005</v>
      </c>
      <c r="H33" s="134">
        <f t="shared" si="3"/>
        <v>20424.861239999998</v>
      </c>
      <c r="I33" s="134">
        <f>874.6031</f>
        <v>874.60310000000004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15960</v>
      </c>
      <c r="E34" s="60">
        <f>E35+E36</f>
        <v>15960</v>
      </c>
      <c r="F34" s="134">
        <f>F35+F36</f>
        <v>215.50758999999999</v>
      </c>
      <c r="G34" s="134">
        <f>G35+G36</f>
        <v>555.61413000000005</v>
      </c>
      <c r="H34" s="134">
        <f t="shared" si="3"/>
        <v>15404.38587</v>
      </c>
      <c r="I34" s="134">
        <f>I35+I36</f>
        <v>215.42939999999999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14760</v>
      </c>
      <c r="E35" s="65">
        <v>14760</v>
      </c>
      <c r="F35" s="129">
        <f>215.50759</f>
        <v>215.50758999999999</v>
      </c>
      <c r="G35" s="134">
        <f>555.61413 - F61 - F62</f>
        <v>555.61413000000005</v>
      </c>
      <c r="H35" s="129">
        <f t="shared" si="3"/>
        <v>14204.38587</v>
      </c>
      <c r="I35" s="129">
        <f>215.4294 - H61 - H62</f>
        <v>215.42939999999999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6">
        <v>3000</v>
      </c>
      <c r="E37" s="146">
        <v>3000</v>
      </c>
      <c r="F37" s="141">
        <f>0</f>
        <v>0</v>
      </c>
      <c r="G37" s="141">
        <f>0</f>
        <v>0</v>
      </c>
      <c r="H37" s="141">
        <f t="shared" si="3"/>
        <v>3000</v>
      </c>
      <c r="I37" s="141">
        <f>0</f>
        <v>0</v>
      </c>
      <c r="J37" s="242"/>
    </row>
    <row r="38" spans="1:13" ht="14.1" customHeight="1" x14ac:dyDescent="0.25">
      <c r="A38" s="1"/>
      <c r="B38" s="252"/>
      <c r="C38" s="75" t="s">
        <v>34</v>
      </c>
      <c r="D38" s="146">
        <v>851</v>
      </c>
      <c r="E38" s="146">
        <v>851</v>
      </c>
      <c r="F38" s="100">
        <f>4.2195</f>
        <v>4.2195</v>
      </c>
      <c r="G38" s="100">
        <f>4.2195</f>
        <v>4.2195</v>
      </c>
      <c r="H38" s="100">
        <f t="shared" si="3"/>
        <v>846.78049999999996</v>
      </c>
      <c r="I38" s="100">
        <f>14.06145</f>
        <v>14.061450000000001</v>
      </c>
      <c r="J38" s="242"/>
    </row>
    <row r="39" spans="1:13" ht="17.25" customHeight="1" x14ac:dyDescent="0.25">
      <c r="A39" s="1"/>
      <c r="B39" s="252"/>
      <c r="C39" s="75" t="s">
        <v>35</v>
      </c>
      <c r="D39" s="146">
        <v>3000</v>
      </c>
      <c r="E39" s="146">
        <v>3000</v>
      </c>
      <c r="F39" s="100">
        <f>E61</f>
        <v>0</v>
      </c>
      <c r="G39" s="100">
        <f>F61</f>
        <v>0</v>
      </c>
      <c r="H39" s="100">
        <f t="shared" si="3"/>
        <v>3000</v>
      </c>
      <c r="I39" s="100">
        <f>H61</f>
        <v>0</v>
      </c>
      <c r="J39" s="242"/>
    </row>
    <row r="40" spans="1:13" ht="17.25" customHeight="1" x14ac:dyDescent="0.25">
      <c r="A40" s="1"/>
      <c r="B40" s="252"/>
      <c r="C40" s="75" t="s">
        <v>36</v>
      </c>
      <c r="D40" s="146">
        <v>7000</v>
      </c>
      <c r="E40" s="146">
        <v>7000</v>
      </c>
      <c r="F40" s="100">
        <f>8.24291</f>
        <v>8.2429100000000002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6">
        <v>300</v>
      </c>
      <c r="E41" s="146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6">
        <v>100</v>
      </c>
      <c r="E42" s="146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6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260782</v>
      </c>
      <c r="E44" s="78">
        <f t="shared" si="4"/>
        <v>260782</v>
      </c>
      <c r="F44" s="78">
        <f t="shared" si="4"/>
        <v>3775.8052299999999</v>
      </c>
      <c r="G44" s="78">
        <f t="shared" si="4"/>
        <v>15397.63555000003</v>
      </c>
      <c r="H44" s="78">
        <f t="shared" si="4"/>
        <v>245384.36444999996</v>
      </c>
      <c r="I44" s="78">
        <f t="shared" si="4"/>
        <v>15927.508249999979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142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8" t="s">
        <v>44</v>
      </c>
      <c r="D52" s="298"/>
      <c r="E52" s="298"/>
      <c r="F52" s="298"/>
      <c r="G52" s="298"/>
      <c r="H52" s="298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138</v>
      </c>
      <c r="F54" s="68" t="s">
        <v>139</v>
      </c>
      <c r="G54" s="68" t="s">
        <v>140</v>
      </c>
      <c r="H54" s="68" t="s">
        <v>141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9">
        <v>9840</v>
      </c>
      <c r="E55" s="11">
        <f>E59+E58+E57+E56</f>
        <v>0</v>
      </c>
      <c r="F55" s="11">
        <f>F59+F58+F57+F56</f>
        <v>0</v>
      </c>
      <c r="G55" s="299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300"/>
      <c r="E56" s="129"/>
      <c r="F56" s="129"/>
      <c r="G56" s="300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300"/>
      <c r="E57" s="129"/>
      <c r="F57" s="129"/>
      <c r="G57" s="300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300"/>
      <c r="E58" s="129"/>
      <c r="F58" s="129"/>
      <c r="G58" s="300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301"/>
      <c r="E59" s="194"/>
      <c r="F59" s="194"/>
      <c r="G59" s="301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/>
      <c r="F60" s="97"/>
      <c r="G60" s="97">
        <f>D60-F60</f>
        <v>1200</v>
      </c>
      <c r="H60" s="97"/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/>
      <c r="F61" s="141"/>
      <c r="G61" s="141">
        <f>D61-F61</f>
        <v>3000</v>
      </c>
      <c r="H61" s="141"/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0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7"/>
      <c r="D80" s="157"/>
      <c r="E80" s="157"/>
      <c r="F80" s="157"/>
      <c r="G80" s="157"/>
      <c r="H80" s="157"/>
      <c r="I80" s="157"/>
      <c r="J80" s="164"/>
    </row>
    <row r="81" spans="1:10" ht="16.5" customHeight="1" x14ac:dyDescent="0.25">
      <c r="B81" s="54"/>
      <c r="C81" s="296" t="s">
        <v>1</v>
      </c>
      <c r="D81" s="297"/>
      <c r="E81" s="296" t="s">
        <v>2</v>
      </c>
      <c r="F81" s="302"/>
      <c r="G81" s="296" t="s">
        <v>3</v>
      </c>
      <c r="H81" s="297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31131</v>
      </c>
      <c r="G82" s="193" t="s">
        <v>5</v>
      </c>
      <c r="H82" s="116">
        <v>9143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50792</v>
      </c>
      <c r="G83" s="193" t="s">
        <v>8</v>
      </c>
      <c r="H83" s="119">
        <v>37586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4063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84177</v>
      </c>
      <c r="G85" s="180" t="s">
        <v>7</v>
      </c>
      <c r="H85" s="192">
        <f>SUM(H82:H84)</f>
        <v>50792</v>
      </c>
      <c r="I85" s="181"/>
      <c r="J85" s="242"/>
    </row>
    <row r="86" spans="1:10" ht="14.25" customHeight="1" x14ac:dyDescent="0.25">
      <c r="A86" s="1"/>
      <c r="B86" s="252"/>
      <c r="C86" s="101"/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138</v>
      </c>
      <c r="G91" s="15" t="s">
        <v>139</v>
      </c>
      <c r="H91" s="15" t="s">
        <v>140</v>
      </c>
      <c r="I91" s="15" t="s">
        <v>141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31131</v>
      </c>
      <c r="E92" s="28">
        <f t="shared" ref="E92:I92" si="5">E94+E93</f>
        <v>31131</v>
      </c>
      <c r="F92" s="11">
        <f t="shared" si="5"/>
        <v>107.24032</v>
      </c>
      <c r="G92" s="11">
        <f t="shared" si="5"/>
        <v>399.97332</v>
      </c>
      <c r="H92" s="11">
        <f t="shared" si="5"/>
        <v>30731.026679999999</v>
      </c>
      <c r="I92" s="11">
        <f t="shared" si="5"/>
        <v>416.32893999999999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30381</v>
      </c>
      <c r="E93" s="48">
        <v>30381</v>
      </c>
      <c r="F93" s="23">
        <f>107.24032</f>
        <v>107.24032</v>
      </c>
      <c r="G93" s="23">
        <f>389.07432</f>
        <v>389.07432</v>
      </c>
      <c r="H93" s="23">
        <f>E93-G93</f>
        <v>29991.92568</v>
      </c>
      <c r="I93" s="23">
        <f>404.75619</f>
        <v>404.75619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750</v>
      </c>
      <c r="F94" s="52">
        <f>0</f>
        <v>0</v>
      </c>
      <c r="G94" s="52">
        <f>10.899</f>
        <v>10.898999999999999</v>
      </c>
      <c r="H94" s="52">
        <f>E94-G94</f>
        <v>739.101</v>
      </c>
      <c r="I94" s="52">
        <f>11.57275</f>
        <v>11.572749999999999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v>52376</v>
      </c>
      <c r="E95" s="28">
        <f t="shared" ref="E95:I95" si="6">E96+E101+E102</f>
        <v>52376</v>
      </c>
      <c r="F95" s="11">
        <f t="shared" si="6"/>
        <v>695.45095000000003</v>
      </c>
      <c r="G95" s="11">
        <f t="shared" si="6"/>
        <v>1548.6595499999999</v>
      </c>
      <c r="H95" s="11">
        <f t="shared" si="6"/>
        <v>50827.340449999989</v>
      </c>
      <c r="I95" s="11">
        <f t="shared" si="6"/>
        <v>1115.7937100000001</v>
      </c>
      <c r="J95" s="242"/>
    </row>
    <row r="96" spans="1:10" ht="14.1" customHeight="1" x14ac:dyDescent="0.25">
      <c r="A96" s="1"/>
      <c r="B96" s="55"/>
      <c r="C96" s="59" t="s">
        <v>23</v>
      </c>
      <c r="D96" s="60">
        <v>39170</v>
      </c>
      <c r="E96" s="60">
        <f t="shared" ref="E96:I96" si="7">E97+E98+E99+E100</f>
        <v>39170</v>
      </c>
      <c r="F96" s="134">
        <f t="shared" si="7"/>
        <v>495.51459</v>
      </c>
      <c r="G96" s="134">
        <f t="shared" si="7"/>
        <v>1205.3388</v>
      </c>
      <c r="H96" s="134">
        <f t="shared" si="7"/>
        <v>37964.661199999995</v>
      </c>
      <c r="I96" s="134">
        <f t="shared" si="7"/>
        <v>924.98006000000009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10461</v>
      </c>
      <c r="E97" s="65">
        <v>10461</v>
      </c>
      <c r="F97" s="129">
        <f>193.42917</f>
        <v>193.42917</v>
      </c>
      <c r="G97" s="129">
        <f>463.32778</f>
        <v>463.32778000000002</v>
      </c>
      <c r="H97" s="129">
        <f t="shared" ref="H97:H104" si="8">E97-G97</f>
        <v>9997.6722200000004</v>
      </c>
      <c r="I97" s="129">
        <f>194.29801</f>
        <v>194.29801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11156</v>
      </c>
      <c r="E98" s="65">
        <v>11156</v>
      </c>
      <c r="F98" s="129">
        <f>193.1143</f>
        <v>193.11429999999999</v>
      </c>
      <c r="G98" s="129">
        <f>491.27232</f>
        <v>491.27231999999998</v>
      </c>
      <c r="H98" s="129">
        <f t="shared" si="8"/>
        <v>10664.72768</v>
      </c>
      <c r="I98" s="129">
        <f>328.38037</f>
        <v>328.38037000000003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10513</v>
      </c>
      <c r="E99" s="65">
        <v>10513</v>
      </c>
      <c r="F99" s="129">
        <f>75.10858</f>
        <v>75.108580000000003</v>
      </c>
      <c r="G99" s="129">
        <f>179.53159</f>
        <v>179.53158999999999</v>
      </c>
      <c r="H99" s="129">
        <f t="shared" si="8"/>
        <v>10333.468409999999</v>
      </c>
      <c r="I99" s="129">
        <f>241.71079</f>
        <v>241.71079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7040</v>
      </c>
      <c r="E100" s="65">
        <v>7040</v>
      </c>
      <c r="F100" s="129">
        <f>33.86254</f>
        <v>33.862540000000003</v>
      </c>
      <c r="G100" s="129">
        <f>71.20711</f>
        <v>71.20711</v>
      </c>
      <c r="H100" s="129">
        <f t="shared" si="8"/>
        <v>6968.7928899999997</v>
      </c>
      <c r="I100" s="129">
        <f>160.59089</f>
        <v>160.59089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9143</v>
      </c>
      <c r="E101" s="60">
        <v>9143</v>
      </c>
      <c r="F101" s="134">
        <f>102.29264</f>
        <v>102.29264000000001</v>
      </c>
      <c r="G101" s="134">
        <f>135.09567</f>
        <v>135.09567000000001</v>
      </c>
      <c r="H101" s="134">
        <f t="shared" si="8"/>
        <v>9007.9043299999994</v>
      </c>
      <c r="I101" s="134">
        <f>137.96745</f>
        <v>137.96745000000001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4063</v>
      </c>
      <c r="E102" s="63">
        <v>4063</v>
      </c>
      <c r="F102" s="77">
        <f>97.64372</f>
        <v>97.643720000000002</v>
      </c>
      <c r="G102" s="77">
        <f>208.22508</f>
        <v>208.22507999999999</v>
      </c>
      <c r="H102" s="77">
        <f t="shared" si="8"/>
        <v>3854.7749199999998</v>
      </c>
      <c r="I102" s="77">
        <f>52.8462</f>
        <v>52.846200000000003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0.014</f>
        <v>1.4E-2</v>
      </c>
      <c r="G103" s="100">
        <f>0.014</f>
        <v>1.4E-2</v>
      </c>
      <c r="H103" s="100">
        <f t="shared" si="8"/>
        <v>319.98599999999999</v>
      </c>
      <c r="I103" s="100">
        <f>5.42374</f>
        <v>5.4237399999999996</v>
      </c>
      <c r="J103" s="242"/>
    </row>
    <row r="104" spans="1:10" ht="18" customHeight="1" x14ac:dyDescent="0.25">
      <c r="A104" s="1"/>
      <c r="B104" s="252"/>
      <c r="C104" s="75" t="s">
        <v>55</v>
      </c>
      <c r="D104" s="146">
        <v>300</v>
      </c>
      <c r="E104" s="146">
        <v>300</v>
      </c>
      <c r="F104" s="141">
        <f>0.82379</f>
        <v>0.82379000000000002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6">
        <v>50</v>
      </c>
      <c r="E105" s="146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6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84177</v>
      </c>
      <c r="E107" s="78">
        <f t="shared" ref="E107:I107" si="9">E92+E95+E103+E104+E105+E106</f>
        <v>84177</v>
      </c>
      <c r="F107" s="78">
        <f t="shared" si="9"/>
        <v>803.52906000000007</v>
      </c>
      <c r="G107" s="78">
        <f t="shared" si="9"/>
        <v>2257.4146699999865</v>
      </c>
      <c r="H107" s="78">
        <f t="shared" si="9"/>
        <v>81919.585330000002</v>
      </c>
      <c r="I107" s="78">
        <f t="shared" si="9"/>
        <v>1881.2811699999991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143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0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7"/>
      <c r="D117" s="157"/>
      <c r="E117" s="157"/>
      <c r="F117" s="157"/>
      <c r="G117" s="157"/>
      <c r="H117" s="157"/>
      <c r="I117" s="157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8"/>
      <c r="D122" s="193"/>
      <c r="E122" s="193" t="s">
        <v>61</v>
      </c>
      <c r="F122" s="119">
        <v>4091</v>
      </c>
      <c r="G122" s="117"/>
      <c r="H122" s="168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6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138</v>
      </c>
      <c r="G127" s="15" t="s">
        <v>139</v>
      </c>
      <c r="H127" s="15" t="s">
        <v>140</v>
      </c>
      <c r="I127" s="15" t="s">
        <v>141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77128</v>
      </c>
      <c r="F128" s="11">
        <f t="shared" si="10"/>
        <v>1077.49467</v>
      </c>
      <c r="G128" s="11">
        <f t="shared" si="10"/>
        <v>3368.6363700000002</v>
      </c>
      <c r="H128" s="11">
        <f t="shared" si="10"/>
        <v>73759.363630000007</v>
      </c>
      <c r="I128" s="11">
        <f t="shared" si="10"/>
        <v>3021.5375600000002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61702</v>
      </c>
      <c r="F129" s="23">
        <f>1077.49467</f>
        <v>1077.49467</v>
      </c>
      <c r="G129" s="23">
        <f>3085.70742</f>
        <v>3085.7074200000002</v>
      </c>
      <c r="H129" s="23">
        <f>E129-G129</f>
        <v>58616.292580000001</v>
      </c>
      <c r="I129" s="23">
        <f>2709.23165</f>
        <v>2709.2316500000002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14926</v>
      </c>
      <c r="F130" s="23">
        <f>0</f>
        <v>0</v>
      </c>
      <c r="G130" s="23">
        <f>282.92895</f>
        <v>282.92894999999999</v>
      </c>
      <c r="H130" s="23">
        <f>E130-G130</f>
        <v>14643.07105</v>
      </c>
      <c r="I130" s="23">
        <f>312.30591</f>
        <v>312.30590999999998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52113</v>
      </c>
      <c r="F132" s="97">
        <f>0.8896</f>
        <v>0.88959999999999995</v>
      </c>
      <c r="G132" s="97">
        <f>4.37895+140.63603</f>
        <v>145.01498000000001</v>
      </c>
      <c r="H132" s="97">
        <f>E132-G132</f>
        <v>51967.98502</v>
      </c>
      <c r="I132" s="97">
        <f>8.609</f>
        <v>8.609</v>
      </c>
      <c r="J132" s="118"/>
    </row>
    <row r="133" spans="1:10" ht="15.75" customHeight="1" x14ac:dyDescent="0.25">
      <c r="A133" s="1"/>
      <c r="B133" s="252"/>
      <c r="C133" s="144" t="s">
        <v>22</v>
      </c>
      <c r="D133" s="146">
        <v>80721</v>
      </c>
      <c r="E133" s="146">
        <f>E134+E139+E142</f>
        <v>80719</v>
      </c>
      <c r="F133" s="96">
        <f>F134+F139+F142</f>
        <v>4310.9202299999997</v>
      </c>
      <c r="G133" s="96">
        <f t="shared" ref="G133" si="11">G134+G139+G142</f>
        <v>10474.925009999999</v>
      </c>
      <c r="H133" s="96">
        <f>H134+H139+H142</f>
        <v>70244.074989999994</v>
      </c>
      <c r="I133" s="96">
        <f>I134+I139+I142</f>
        <v>5739.9702700000007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60916</v>
      </c>
      <c r="F134" s="127">
        <f>F135+F136+F137+F138</f>
        <v>4027.0528299999996</v>
      </c>
      <c r="G134" s="127">
        <f>G135+G136+G138+G137</f>
        <v>9787.2852999999996</v>
      </c>
      <c r="H134" s="127">
        <f>H135+H136+H137+H138</f>
        <v>51128.714699999997</v>
      </c>
      <c r="I134" s="127">
        <f>I135+I136+I137+I138</f>
        <v>5477.2583400000003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16169</v>
      </c>
      <c r="F135" s="129">
        <f>623.38779</f>
        <v>623.38779</v>
      </c>
      <c r="G135" s="129">
        <v>1937.1182699999999</v>
      </c>
      <c r="H135" s="129">
        <f>E135-G135</f>
        <v>14231.881730000001</v>
      </c>
      <c r="I135" s="129">
        <f>834.16613</f>
        <v>834.16612999999995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16559</v>
      </c>
      <c r="F136" s="129">
        <f>1042.51982</f>
        <v>1042.51982</v>
      </c>
      <c r="G136" s="129">
        <v>2544.9177399999999</v>
      </c>
      <c r="H136" s="129">
        <f>E136-G136</f>
        <v>14014.082259999999</v>
      </c>
      <c r="I136" s="129">
        <f>1495.31884</f>
        <v>1495.3188399999999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15131</v>
      </c>
      <c r="F137" s="129">
        <f>854.3099</f>
        <v>854.30989999999997</v>
      </c>
      <c r="G137" s="129">
        <v>2554.2671</v>
      </c>
      <c r="H137" s="129">
        <f>E137-G137</f>
        <v>12576.732899999999</v>
      </c>
      <c r="I137" s="129">
        <f>2164.81109</f>
        <v>2164.8110900000001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13057</v>
      </c>
      <c r="F138" s="129">
        <f>1506.83532</f>
        <v>1506.8353199999999</v>
      </c>
      <c r="G138" s="129">
        <v>2750.9821899999997</v>
      </c>
      <c r="H138" s="129">
        <f>E138-G138</f>
        <v>10306.017810000001</v>
      </c>
      <c r="I138" s="129">
        <f>982.96228</f>
        <v>982.96227999999996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8713</v>
      </c>
      <c r="F139" s="134">
        <f>SUM(F140:F141)</f>
        <v>74.476800000000011</v>
      </c>
      <c r="G139" s="134">
        <f>SUM(G140:G141)</f>
        <v>214.80504000000002</v>
      </c>
      <c r="H139" s="134">
        <f>H140+H141</f>
        <v>8498.1949600000007</v>
      </c>
      <c r="I139" s="134">
        <f>SUM(I140:I141)</f>
        <v>19.936410000000002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8213</v>
      </c>
      <c r="F140" s="129">
        <f>74.058</f>
        <v>74.058000000000007</v>
      </c>
      <c r="G140" s="129">
        <f>212.7024</f>
        <v>212.70240000000001</v>
      </c>
      <c r="H140" s="129">
        <f t="shared" ref="H140:H147" si="12">E140-G140</f>
        <v>8000.2975999999999</v>
      </c>
      <c r="I140" s="129">
        <f>17.85105</f>
        <v>17.851050000000001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0.4188</f>
        <v>0.41880000000000001</v>
      </c>
      <c r="G141" s="129">
        <f>2.10264</f>
        <v>2.1026400000000001</v>
      </c>
      <c r="H141" s="129">
        <f t="shared" si="12"/>
        <v>497.89735999999999</v>
      </c>
      <c r="I141" s="129">
        <f>2.08536</f>
        <v>2.0853600000000001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11090</v>
      </c>
      <c r="F142" s="77">
        <f>209.3906</f>
        <v>209.39060000000001</v>
      </c>
      <c r="G142" s="77">
        <f>472.83467</f>
        <v>472.83467000000002</v>
      </c>
      <c r="H142" s="77">
        <f t="shared" si="12"/>
        <v>10617.16533</v>
      </c>
      <c r="I142" s="77">
        <f>242.77552</f>
        <v>242.77552</v>
      </c>
      <c r="J142" s="122"/>
    </row>
    <row r="143" spans="1:10" ht="15.75" customHeight="1" x14ac:dyDescent="0.25">
      <c r="A143" s="1"/>
      <c r="B143" s="252"/>
      <c r="C143" s="144" t="s">
        <v>34</v>
      </c>
      <c r="D143" s="146">
        <v>137</v>
      </c>
      <c r="E143" s="146">
        <v>137</v>
      </c>
      <c r="F143" s="141">
        <f>0.04995</f>
        <v>4.9950000000000001E-2</v>
      </c>
      <c r="G143" s="141">
        <f>0.2592</f>
        <v>0.25919999999999999</v>
      </c>
      <c r="H143" s="141">
        <f t="shared" si="12"/>
        <v>136.74080000000001</v>
      </c>
      <c r="I143" s="141">
        <f>0.4308</f>
        <v>0.43080000000000002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6">
        <v>2000</v>
      </c>
      <c r="E145" s="146">
        <v>2000</v>
      </c>
      <c r="F145" s="141">
        <f>8.41671</f>
        <v>8.4167100000000001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6"/>
      <c r="E146" s="146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6">
        <v>195</v>
      </c>
      <c r="E147" s="146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6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212542</v>
      </c>
      <c r="F150" s="78">
        <f>F128+F132+F133+F143+F144+F145+F146+F147+F148</f>
        <v>5397.7711600000002</v>
      </c>
      <c r="G150" s="78">
        <f>G128+G132+G133+G143+G144+G145+G146+G147+G148</f>
        <v>15988.83556</v>
      </c>
      <c r="H150" s="78">
        <f>H128+H132+H133+H143+H144+H145+H146+H147+H148</f>
        <v>196553.16443999999</v>
      </c>
      <c r="I150" s="78">
        <f>I128+I132+I133+I143+I144+I145+I146+I147+I148</f>
        <v>10770.547630000001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145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144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9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1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138</v>
      </c>
      <c r="F174" s="15" t="s">
        <v>139</v>
      </c>
      <c r="G174" s="56" t="s">
        <v>140</v>
      </c>
      <c r="H174" s="15" t="s">
        <v>141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21.49892</f>
        <v>21.498919999999998</v>
      </c>
      <c r="F175" s="274">
        <f>117.03834</f>
        <v>117.03834000000001</v>
      </c>
      <c r="G175" s="45">
        <f>D175-F175-F176</f>
        <v>4857.8756800000001</v>
      </c>
      <c r="H175" s="274">
        <f>38.83257</f>
        <v>38.832569999999997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1.57826</f>
        <v>1.57826</v>
      </c>
      <c r="F176" s="154">
        <f>13.08598</f>
        <v>13.085979999999999</v>
      </c>
      <c r="G176" s="215"/>
      <c r="H176" s="154">
        <f>36.92092</f>
        <v>36.920920000000002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14.82192</f>
        <v>14.82192</v>
      </c>
      <c r="F177" s="174">
        <f>15.06384</f>
        <v>15.063840000000001</v>
      </c>
      <c r="G177" s="174">
        <f>D177-F177</f>
        <v>184.93616</v>
      </c>
      <c r="H177" s="174">
        <f>0</f>
        <v>0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0.25344</v>
      </c>
      <c r="F178" s="183">
        <f>F179+F180+F181</f>
        <v>1.0933600000000001</v>
      </c>
      <c r="G178" s="183">
        <f>D178-F178</f>
        <v>7479.9066400000002</v>
      </c>
      <c r="H178" s="183">
        <f>H179+H180+H181</f>
        <v>3.4251400000000003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0.03438</f>
        <v>3.4380000000000001E-2</v>
      </c>
      <c r="F179" s="129">
        <f>0.13846</f>
        <v>0.13846</v>
      </c>
      <c r="G179" s="129"/>
      <c r="H179" s="129">
        <f>0.01996</f>
        <v>1.9959999999999999E-2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0.0703</f>
        <v>7.0300000000000001E-2</v>
      </c>
      <c r="F180" s="129">
        <f>0.3809</f>
        <v>0.38090000000000002</v>
      </c>
      <c r="G180" s="129"/>
      <c r="H180" s="129">
        <f>2.68791</f>
        <v>2.68791</v>
      </c>
      <c r="I180" s="188"/>
      <c r="J180" s="190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0.14876</f>
        <v>0.14876</v>
      </c>
      <c r="F181" s="194">
        <f>0.574</f>
        <v>0.57399999999999995</v>
      </c>
      <c r="G181" s="194"/>
      <c r="H181" s="194">
        <f>0.71727</f>
        <v>0.71726999999999996</v>
      </c>
      <c r="I181" s="188"/>
      <c r="J181" s="190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38.152539999999995</v>
      </c>
      <c r="F184" s="196">
        <f>F175+F176+F177+F178+F182+F183</f>
        <v>146.28152</v>
      </c>
      <c r="G184" s="196">
        <f>D184-F184</f>
        <v>12588.71848</v>
      </c>
      <c r="H184" s="196">
        <f>H175+H176+H177+H178+H182+H183</f>
        <v>79.178629999999998</v>
      </c>
      <c r="I184" s="165"/>
      <c r="J184" s="162"/>
    </row>
    <row r="185" spans="1:10" ht="42" customHeight="1" x14ac:dyDescent="0.25">
      <c r="A185" s="1"/>
      <c r="B185" s="201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7"/>
      <c r="I191" s="157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138</v>
      </c>
      <c r="F203" s="68" t="s">
        <v>139</v>
      </c>
      <c r="G203" s="68" t="s">
        <v>140</v>
      </c>
      <c r="H203" s="68" t="s">
        <v>141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36.66806</f>
        <v>36.668059999999997</v>
      </c>
      <c r="F204" s="124">
        <f>350.62018</f>
        <v>350.62018</v>
      </c>
      <c r="G204" s="124">
        <f>D204-F204</f>
        <v>43488.379820000002</v>
      </c>
      <c r="H204" s="124">
        <f>64.24228</f>
        <v>64.242279999999994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0.0005</f>
        <v>5.0000000000000001E-4</v>
      </c>
      <c r="F205" s="124">
        <f>0.0055</f>
        <v>5.4999999999999997E-3</v>
      </c>
      <c r="G205" s="124">
        <f>D205-F205</f>
        <v>99.994500000000002</v>
      </c>
      <c r="H205" s="124">
        <f>0</f>
        <v>0</v>
      </c>
      <c r="I205" s="246"/>
      <c r="J205" s="122"/>
    </row>
    <row r="206" spans="1:10" ht="15.75" customHeight="1" x14ac:dyDescent="0.25">
      <c r="A206" s="1"/>
      <c r="B206" s="252"/>
      <c r="C206" s="145" t="s">
        <v>82</v>
      </c>
      <c r="D206" s="167">
        <v>42</v>
      </c>
      <c r="E206" s="167"/>
      <c r="F206" s="167"/>
      <c r="G206" s="167">
        <f>D206-F206</f>
        <v>42</v>
      </c>
      <c r="H206" s="167"/>
      <c r="I206" s="246"/>
      <c r="J206" s="122"/>
    </row>
    <row r="207" spans="1:10" ht="16.5" customHeight="1" x14ac:dyDescent="0.25">
      <c r="A207" s="1"/>
      <c r="B207" s="252"/>
      <c r="C207" s="178" t="s">
        <v>88</v>
      </c>
      <c r="D207" s="189">
        <f>SUM(D204:D206)</f>
        <v>43981</v>
      </c>
      <c r="E207" s="189">
        <f>SUM(E204:E206)</f>
        <v>36.668559999999999</v>
      </c>
      <c r="F207" s="189">
        <f>SUM(F204:F206)</f>
        <v>350.62567999999999</v>
      </c>
      <c r="G207" s="189">
        <f>D207-F207</f>
        <v>43630.374320000003</v>
      </c>
      <c r="H207" s="189">
        <f>SUM(H204:H206)</f>
        <v>64.242279999999994</v>
      </c>
      <c r="I207" s="246"/>
      <c r="J207" s="122"/>
    </row>
    <row r="208" spans="1:10" ht="17.100000000000001" customHeight="1" x14ac:dyDescent="0.25">
      <c r="A208" s="1"/>
      <c r="B208" s="166"/>
      <c r="C208" s="200" t="s">
        <v>89</v>
      </c>
      <c r="D208" s="109"/>
      <c r="E208" s="109"/>
      <c r="F208" s="211"/>
      <c r="G208" s="211"/>
      <c r="H208" s="211"/>
      <c r="I208" s="211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1870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5934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5060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13246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thickBot="1" x14ac:dyDescent="0.3">
      <c r="A257" s="1"/>
      <c r="B257" s="252"/>
      <c r="C257" s="68" t="s">
        <v>16</v>
      </c>
      <c r="D257" s="241" t="s">
        <v>2</v>
      </c>
      <c r="E257" s="68" t="s">
        <v>138</v>
      </c>
      <c r="F257" s="68" t="s">
        <v>139</v>
      </c>
      <c r="G257" s="68" t="s">
        <v>140</v>
      </c>
      <c r="H257" s="68" t="s">
        <v>141</v>
      </c>
      <c r="I257" s="1"/>
      <c r="J257" s="118"/>
    </row>
    <row r="258" spans="1:10" ht="14.1" customHeight="1" thickBot="1" x14ac:dyDescent="0.3">
      <c r="A258" s="70"/>
      <c r="B258" s="81"/>
      <c r="C258" s="90" t="s">
        <v>96</v>
      </c>
      <c r="D258" s="124">
        <v>800</v>
      </c>
      <c r="E258" s="124">
        <f>2.92332</f>
        <v>2.9233199999999999</v>
      </c>
      <c r="F258" s="124">
        <f>13.68406</f>
        <v>13.684060000000001</v>
      </c>
      <c r="G258" s="124">
        <f t="shared" ref="G258:G259" si="14">D258-F258</f>
        <v>786.31593999999996</v>
      </c>
      <c r="H258" s="124">
        <f>7.799</f>
        <v>7.7990000000000004</v>
      </c>
      <c r="I258" s="70"/>
      <c r="J258" s="242"/>
    </row>
    <row r="259" spans="1:10" ht="14.1" customHeight="1" thickBot="1" x14ac:dyDescent="0.3">
      <c r="A259" s="1"/>
      <c r="B259" s="252"/>
      <c r="C259" s="90" t="s">
        <v>97</v>
      </c>
      <c r="D259" s="244">
        <v>2494</v>
      </c>
      <c r="E259" s="124">
        <f>11.78757</f>
        <v>11.787570000000001</v>
      </c>
      <c r="F259" s="124">
        <f>35.01399</f>
        <v>35.01399</v>
      </c>
      <c r="G259" s="124">
        <f t="shared" si="14"/>
        <v>2458.9860100000001</v>
      </c>
      <c r="H259" s="124">
        <f>26.35275</f>
        <v>26.35275</v>
      </c>
      <c r="I259" s="181"/>
      <c r="J259" s="118"/>
    </row>
    <row r="260" spans="1:10" ht="16.5" customHeight="1" thickBot="1" x14ac:dyDescent="0.3">
      <c r="A260" s="70"/>
      <c r="B260" s="81"/>
      <c r="C260" s="145" t="s">
        <v>82</v>
      </c>
      <c r="D260" s="244">
        <v>5</v>
      </c>
      <c r="E260" s="167">
        <f>0</f>
        <v>0</v>
      </c>
      <c r="F260" s="167">
        <f>0</f>
        <v>0</v>
      </c>
      <c r="G260" s="124">
        <f>D260-F260</f>
        <v>5</v>
      </c>
      <c r="H260" s="167">
        <f>0.0225</f>
        <v>2.2499999999999999E-2</v>
      </c>
      <c r="I260" s="70"/>
      <c r="J260" s="247"/>
    </row>
    <row r="261" spans="1:10" ht="18.75" customHeight="1" thickBot="1" x14ac:dyDescent="0.3">
      <c r="A261" s="70"/>
      <c r="B261" s="248"/>
      <c r="C261" s="145" t="s">
        <v>98</v>
      </c>
      <c r="D261" s="220"/>
      <c r="E261" s="167">
        <f>0</f>
        <v>0</v>
      </c>
      <c r="F261" s="167">
        <f>0</f>
        <v>0</v>
      </c>
      <c r="G261" s="124"/>
      <c r="H261" s="167">
        <f>0.02</f>
        <v>0.02</v>
      </c>
      <c r="I261" s="282"/>
      <c r="J261" s="122"/>
    </row>
    <row r="262" spans="1:10" ht="14.1" customHeight="1" thickBot="1" x14ac:dyDescent="0.3">
      <c r="A262" s="1"/>
      <c r="B262" s="252"/>
      <c r="C262" s="178" t="s">
        <v>88</v>
      </c>
      <c r="D262" s="6">
        <f>D247</f>
        <v>1870</v>
      </c>
      <c r="E262" s="189">
        <f>SUM(E258:E261)</f>
        <v>14.710890000000001</v>
      </c>
      <c r="F262" s="189">
        <f>SUM(F258:F261)</f>
        <v>48.698050000000002</v>
      </c>
      <c r="G262" s="189">
        <f>D262-F262</f>
        <v>1821.30195</v>
      </c>
      <c r="H262" s="189">
        <f>H258+H259+H260+H261</f>
        <v>34.194250000000004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1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138</v>
      </c>
      <c r="G287" s="221" t="s">
        <v>139</v>
      </c>
      <c r="H287" s="221" t="s">
        <v>140</v>
      </c>
      <c r="I287" s="221" t="s">
        <v>141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5">D292+D291+D290+D289</f>
        <v>13765</v>
      </c>
      <c r="E288" s="249">
        <f t="shared" si="15"/>
        <v>16102</v>
      </c>
      <c r="F288" s="251">
        <f t="shared" si="15"/>
        <v>6.1486400000000003</v>
      </c>
      <c r="G288" s="251">
        <f t="shared" si="15"/>
        <v>100.23105999999999</v>
      </c>
      <c r="H288" s="251">
        <f>H292+H291+H290+H289</f>
        <v>16001.76894</v>
      </c>
      <c r="I288" s="251">
        <f t="shared" si="15"/>
        <v>54.11815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0</f>
        <v>0</v>
      </c>
      <c r="H289" s="255">
        <f t="shared" ref="H289:H293" si="16">E289-G289</f>
        <v>8177</v>
      </c>
      <c r="I289" s="255">
        <f>0</f>
        <v>0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0</f>
        <v>0</v>
      </c>
      <c r="H290" s="255">
        <f t="shared" si="16"/>
        <v>2128</v>
      </c>
      <c r="I290" s="255">
        <f>0</f>
        <v>0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4.28024</f>
        <v>4.28024</v>
      </c>
      <c r="G291" s="255">
        <f>84.79166</f>
        <v>84.791659999999993</v>
      </c>
      <c r="H291" s="255">
        <f t="shared" si="16"/>
        <v>1272.2083399999999</v>
      </c>
      <c r="I291" s="255">
        <f>51.85895</f>
        <v>51.85895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1.8684</f>
        <v>1.8684000000000001</v>
      </c>
      <c r="G292" s="255">
        <f>15.4394</f>
        <v>15.439399999999999</v>
      </c>
      <c r="H292" s="255">
        <f t="shared" si="16"/>
        <v>4424.5605999999998</v>
      </c>
      <c r="I292" s="255">
        <f>2.2592</f>
        <v>2.2591999999999999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17.432</f>
        <v>17.431999999999999</v>
      </c>
      <c r="G293" s="266">
        <f>17.506</f>
        <v>17.506</v>
      </c>
      <c r="H293" s="266">
        <f t="shared" si="16"/>
        <v>5482.4939999999997</v>
      </c>
      <c r="I293" s="266">
        <f>104.23302</f>
        <v>104.23302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21.100480000000001</v>
      </c>
      <c r="G294" s="267">
        <f>G296+G295</f>
        <v>86.622559999999993</v>
      </c>
      <c r="H294" s="267">
        <f>E294-G294</f>
        <v>7913.3774400000002</v>
      </c>
      <c r="I294" s="267">
        <f>I296+I295</f>
        <v>108.60505999999999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0</f>
        <v>0</v>
      </c>
      <c r="H295" s="255"/>
      <c r="I295" s="255">
        <f>0</f>
        <v>0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21.10048</f>
        <v>21.100480000000001</v>
      </c>
      <c r="G296" s="276">
        <f>86.62256</f>
        <v>86.622559999999993</v>
      </c>
      <c r="H296" s="276"/>
      <c r="I296" s="276">
        <f>108.60506</f>
        <v>108.60505999999999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</f>
        <v>0</v>
      </c>
      <c r="H297" s="266">
        <f>E297-G297</f>
        <v>10</v>
      </c>
      <c r="I297" s="266">
        <f>0.0567</f>
        <v>5.67E-2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0.0186</f>
        <v>1.8599999999999998E-2</v>
      </c>
      <c r="G298" s="266">
        <f>0.84796</f>
        <v>0.84796000000000005</v>
      </c>
      <c r="H298" s="266">
        <f>E298-G298</f>
        <v>-0.84796000000000005</v>
      </c>
      <c r="I298" s="266">
        <f>11.62565</f>
        <v>11.62565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7">F288+F293+F294+F297+F298</f>
        <v>44.699719999999999</v>
      </c>
      <c r="G299" s="285">
        <f t="shared" si="17"/>
        <v>205.20757999999998</v>
      </c>
      <c r="H299" s="285">
        <f>H288+H293+H294+H297+H298</f>
        <v>29406.792420000002</v>
      </c>
      <c r="I299" s="285">
        <f t="shared" si="17"/>
        <v>278.63857999999999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1"/>
      <c r="C320" s="20" t="s">
        <v>115</v>
      </c>
      <c r="D320" s="22" t="s">
        <v>116</v>
      </c>
      <c r="E320" s="20" t="s">
        <v>138</v>
      </c>
      <c r="F320" s="20" t="s">
        <v>139</v>
      </c>
      <c r="G320" s="25" t="s">
        <v>140</v>
      </c>
      <c r="H320" s="20" t="s">
        <v>141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156.33051</v>
      </c>
      <c r="F321" s="26">
        <f>F323+F322</f>
        <v>411.35332</v>
      </c>
      <c r="G321" s="87">
        <f>D321-F321</f>
        <v>1829.6466800000001</v>
      </c>
      <c r="H321" s="26">
        <f>SUM(H322:H323)</f>
        <v>261.89134000000001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142.04821</f>
        <v>142.04821000000001</v>
      </c>
      <c r="F322" s="207">
        <f>358.81502</f>
        <v>358.81502</v>
      </c>
      <c r="G322" s="208"/>
      <c r="H322" s="207">
        <f>224.38824</f>
        <v>224.38824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14.2823</f>
        <v>14.282299999999999</v>
      </c>
      <c r="F323" s="210">
        <f>52.5383</f>
        <v>52.5383</v>
      </c>
      <c r="G323" s="212"/>
      <c r="H323" s="210">
        <f>37.5031</f>
        <v>37.503100000000003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156.33051</v>
      </c>
      <c r="F331" s="42">
        <f>F321+F324+F327+F330</f>
        <v>411.35332</v>
      </c>
      <c r="G331" s="43">
        <f>SUM(G321:G330)</f>
        <v>2949.6466799999998</v>
      </c>
      <c r="H331" s="42">
        <f>H321+H324+H327+H330</f>
        <v>261.89134000000001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1"/>
      <c r="D333" s="202"/>
      <c r="E333" s="211"/>
      <c r="F333" s="211"/>
      <c r="G333" s="211"/>
      <c r="H333" s="211"/>
      <c r="I333" s="211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3&amp;R25.01.2023</oddHeader>
    <oddFooter>&amp;L&amp;8Fiskeridirektoratet&amp;C&amp;8Seksjon fiskeriregulering&amp;R&amp;8Amund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2023-01-25T07:43:10Z</dcterms:modified>
</cp:coreProperties>
</file>