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skeridirektoratet.no\Ressurs\Brukere\almal\Downloads\"/>
    </mc:Choice>
  </mc:AlternateContent>
  <xr:revisionPtr revIDLastSave="0" documentId="13_ncr:1_{AB3EEE68-422C-4EBE-82C8-138C3BE2DC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423" i="1"/>
  <c r="H422" i="1"/>
  <c r="F422" i="1"/>
  <c r="G422" i="1" s="1"/>
  <c r="E422" i="1"/>
  <c r="H421" i="1"/>
  <c r="F421" i="1"/>
  <c r="E421" i="1"/>
  <c r="H420" i="1"/>
  <c r="F420" i="1"/>
  <c r="F419" i="1" s="1"/>
  <c r="G419" i="1" s="1"/>
  <c r="E420" i="1"/>
  <c r="H419" i="1"/>
  <c r="E419" i="1"/>
  <c r="H418" i="1"/>
  <c r="F418" i="1"/>
  <c r="E418" i="1"/>
  <c r="E416" i="1" s="1"/>
  <c r="H417" i="1"/>
  <c r="H416" i="1" s="1"/>
  <c r="F417" i="1"/>
  <c r="F416" i="1" s="1"/>
  <c r="G416" i="1" s="1"/>
  <c r="E417" i="1"/>
  <c r="H415" i="1"/>
  <c r="H413" i="1" s="1"/>
  <c r="F415" i="1"/>
  <c r="E415" i="1"/>
  <c r="H414" i="1"/>
  <c r="F414" i="1"/>
  <c r="E414" i="1"/>
  <c r="E413" i="1" s="1"/>
  <c r="E423" i="1" s="1"/>
  <c r="F413" i="1"/>
  <c r="F423" i="1" s="1"/>
  <c r="I390" i="1"/>
  <c r="H390" i="1"/>
  <c r="G390" i="1"/>
  <c r="F390" i="1"/>
  <c r="I389" i="1"/>
  <c r="G389" i="1"/>
  <c r="H389" i="1" s="1"/>
  <c r="F389" i="1"/>
  <c r="I388" i="1"/>
  <c r="G388" i="1"/>
  <c r="G386" i="1" s="1"/>
  <c r="H386" i="1" s="1"/>
  <c r="F388" i="1"/>
  <c r="I387" i="1"/>
  <c r="I386" i="1" s="1"/>
  <c r="I391" i="1" s="1"/>
  <c r="G387" i="1"/>
  <c r="F387" i="1"/>
  <c r="F386" i="1"/>
  <c r="I385" i="1"/>
  <c r="H385" i="1"/>
  <c r="G385" i="1"/>
  <c r="F385" i="1"/>
  <c r="I384" i="1"/>
  <c r="G384" i="1"/>
  <c r="H384" i="1" s="1"/>
  <c r="H380" i="1" s="1"/>
  <c r="F384" i="1"/>
  <c r="I383" i="1"/>
  <c r="H383" i="1"/>
  <c r="G383" i="1"/>
  <c r="F383" i="1"/>
  <c r="I382" i="1"/>
  <c r="G382" i="1"/>
  <c r="H382" i="1" s="1"/>
  <c r="F382" i="1"/>
  <c r="I381" i="1"/>
  <c r="H381" i="1"/>
  <c r="G381" i="1"/>
  <c r="F381" i="1"/>
  <c r="I380" i="1"/>
  <c r="G380" i="1"/>
  <c r="G391" i="1" s="1"/>
  <c r="F380" i="1"/>
  <c r="F391" i="1" s="1"/>
  <c r="D380" i="1"/>
  <c r="D391" i="1" s="1"/>
  <c r="H372" i="1"/>
  <c r="F372" i="1"/>
  <c r="D354" i="1"/>
  <c r="G354" i="1" s="1"/>
  <c r="H353" i="1"/>
  <c r="G353" i="1"/>
  <c r="F353" i="1"/>
  <c r="E353" i="1"/>
  <c r="H352" i="1"/>
  <c r="F352" i="1"/>
  <c r="G352" i="1" s="1"/>
  <c r="E352" i="1"/>
  <c r="H351" i="1"/>
  <c r="G351" i="1"/>
  <c r="F351" i="1"/>
  <c r="E351" i="1"/>
  <c r="H350" i="1"/>
  <c r="H354" i="1" s="1"/>
  <c r="F350" i="1"/>
  <c r="F354" i="1" s="1"/>
  <c r="E350" i="1"/>
  <c r="E354" i="1" s="1"/>
  <c r="D343" i="1"/>
  <c r="H299" i="1"/>
  <c r="D299" i="1"/>
  <c r="H298" i="1"/>
  <c r="G298" i="1"/>
  <c r="F298" i="1"/>
  <c r="E298" i="1"/>
  <c r="H297" i="1"/>
  <c r="F297" i="1"/>
  <c r="E297" i="1"/>
  <c r="H296" i="1"/>
  <c r="F296" i="1"/>
  <c r="F295" i="1" s="1"/>
  <c r="E296" i="1"/>
  <c r="E295" i="1" s="1"/>
  <c r="E299" i="1" s="1"/>
  <c r="H295" i="1"/>
  <c r="D253" i="1"/>
  <c r="H252" i="1"/>
  <c r="H253" i="1" s="1"/>
  <c r="F252" i="1"/>
  <c r="G252" i="1" s="1"/>
  <c r="E252" i="1"/>
  <c r="H251" i="1"/>
  <c r="F251" i="1"/>
  <c r="E251" i="1"/>
  <c r="E249" i="1" s="1"/>
  <c r="E253" i="1" s="1"/>
  <c r="H250" i="1"/>
  <c r="F250" i="1"/>
  <c r="F249" i="1" s="1"/>
  <c r="E250" i="1"/>
  <c r="H249" i="1"/>
  <c r="H207" i="1"/>
  <c r="F207" i="1"/>
  <c r="D207" i="1"/>
  <c r="G207" i="1" s="1"/>
  <c r="H206" i="1"/>
  <c r="F206" i="1"/>
  <c r="G206" i="1" s="1"/>
  <c r="E206" i="1"/>
  <c r="H205" i="1"/>
  <c r="G205" i="1"/>
  <c r="F205" i="1"/>
  <c r="E205" i="1"/>
  <c r="H204" i="1"/>
  <c r="F204" i="1"/>
  <c r="G204" i="1" s="1"/>
  <c r="E204" i="1"/>
  <c r="E207" i="1" s="1"/>
  <c r="D184" i="1"/>
  <c r="H183" i="1"/>
  <c r="F183" i="1"/>
  <c r="G183" i="1" s="1"/>
  <c r="E183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F179" i="1"/>
  <c r="F178" i="1" s="1"/>
  <c r="G178" i="1" s="1"/>
  <c r="E179" i="1"/>
  <c r="E178" i="1"/>
  <c r="H177" i="1"/>
  <c r="F177" i="1"/>
  <c r="G177" i="1" s="1"/>
  <c r="E177" i="1"/>
  <c r="H176" i="1"/>
  <c r="F176" i="1"/>
  <c r="E176" i="1"/>
  <c r="H175" i="1"/>
  <c r="F175" i="1"/>
  <c r="E175" i="1"/>
  <c r="E184" i="1" s="1"/>
  <c r="D167" i="1"/>
  <c r="D169" i="1" s="1"/>
  <c r="I148" i="1"/>
  <c r="G148" i="1"/>
  <c r="H148" i="1" s="1"/>
  <c r="F148" i="1"/>
  <c r="I147" i="1"/>
  <c r="G147" i="1"/>
  <c r="H147" i="1" s="1"/>
  <c r="F147" i="1"/>
  <c r="H146" i="1"/>
  <c r="I145" i="1"/>
  <c r="H145" i="1"/>
  <c r="G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G140" i="1"/>
  <c r="H140" i="1" s="1"/>
  <c r="H139" i="1" s="1"/>
  <c r="F140" i="1"/>
  <c r="I139" i="1"/>
  <c r="F139" i="1"/>
  <c r="E139" i="1"/>
  <c r="D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I134" i="1"/>
  <c r="I133" i="1" s="1"/>
  <c r="G134" i="1"/>
  <c r="F134" i="1"/>
  <c r="F133" i="1" s="1"/>
  <c r="E134" i="1"/>
  <c r="D134" i="1"/>
  <c r="D133" i="1" s="1"/>
  <c r="D150" i="1" s="1"/>
  <c r="E133" i="1"/>
  <c r="I132" i="1"/>
  <c r="F132" i="1"/>
  <c r="I131" i="1"/>
  <c r="G131" i="1"/>
  <c r="H131" i="1" s="1"/>
  <c r="F131" i="1"/>
  <c r="I130" i="1"/>
  <c r="H130" i="1"/>
  <c r="G130" i="1"/>
  <c r="F130" i="1"/>
  <c r="I129" i="1"/>
  <c r="I128" i="1" s="1"/>
  <c r="G129" i="1"/>
  <c r="G128" i="1" s="1"/>
  <c r="F129" i="1"/>
  <c r="F128" i="1" s="1"/>
  <c r="E128" i="1"/>
  <c r="E150" i="1" s="1"/>
  <c r="D128" i="1"/>
  <c r="C126" i="1"/>
  <c r="D107" i="1"/>
  <c r="I106" i="1"/>
  <c r="G106" i="1"/>
  <c r="H106" i="1" s="1"/>
  <c r="F106" i="1"/>
  <c r="I105" i="1"/>
  <c r="G105" i="1"/>
  <c r="H105" i="1" s="1"/>
  <c r="F105" i="1"/>
  <c r="I104" i="1"/>
  <c r="G104" i="1"/>
  <c r="H104" i="1" s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I96" i="1" s="1"/>
  <c r="I95" i="1" s="1"/>
  <c r="G97" i="1"/>
  <c r="H97" i="1" s="1"/>
  <c r="H96" i="1" s="1"/>
  <c r="F97" i="1"/>
  <c r="F96" i="1" s="1"/>
  <c r="F95" i="1" s="1"/>
  <c r="E96" i="1"/>
  <c r="E95" i="1" s="1"/>
  <c r="E107" i="1" s="1"/>
  <c r="D96" i="1"/>
  <c r="D95" i="1"/>
  <c r="I94" i="1"/>
  <c r="G94" i="1"/>
  <c r="H94" i="1" s="1"/>
  <c r="F94" i="1"/>
  <c r="F92" i="1" s="1"/>
  <c r="I93" i="1"/>
  <c r="G93" i="1"/>
  <c r="G92" i="1" s="1"/>
  <c r="F93" i="1"/>
  <c r="I92" i="1"/>
  <c r="E92" i="1"/>
  <c r="D92" i="1"/>
  <c r="C89" i="1"/>
  <c r="H85" i="1"/>
  <c r="F85" i="1"/>
  <c r="D85" i="1"/>
  <c r="H61" i="1"/>
  <c r="H60" i="1"/>
  <c r="I35" i="1" s="1"/>
  <c r="I34" i="1" s="1"/>
  <c r="I26" i="1" s="1"/>
  <c r="I55" i="1"/>
  <c r="I32" i="1" s="1"/>
  <c r="I27" i="1" s="1"/>
  <c r="G55" i="1"/>
  <c r="G32" i="1" s="1"/>
  <c r="H32" i="1" s="1"/>
  <c r="F55" i="1"/>
  <c r="F32" i="1" s="1"/>
  <c r="F27" i="1" s="1"/>
  <c r="I43" i="1"/>
  <c r="G43" i="1"/>
  <c r="H43" i="1" s="1"/>
  <c r="F43" i="1"/>
  <c r="H4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G35" i="1"/>
  <c r="G34" i="1" s="1"/>
  <c r="F35" i="1"/>
  <c r="F34" i="1" s="1"/>
  <c r="E35" i="1"/>
  <c r="H35" i="1" s="1"/>
  <c r="D34" i="1"/>
  <c r="I33" i="1"/>
  <c r="H33" i="1"/>
  <c r="G33" i="1"/>
  <c r="F33" i="1"/>
  <c r="I31" i="1"/>
  <c r="H31" i="1"/>
  <c r="G31" i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E27" i="1"/>
  <c r="D27" i="1"/>
  <c r="E26" i="1"/>
  <c r="D26" i="1"/>
  <c r="I25" i="1"/>
  <c r="G25" i="1"/>
  <c r="G23" i="1" s="1"/>
  <c r="F25" i="1"/>
  <c r="I24" i="1"/>
  <c r="I23" i="1" s="1"/>
  <c r="H24" i="1"/>
  <c r="G24" i="1"/>
  <c r="F24" i="1"/>
  <c r="F23" i="1" s="1"/>
  <c r="E23" i="1"/>
  <c r="E44" i="1" s="1"/>
  <c r="D23" i="1"/>
  <c r="D44" i="1" s="1"/>
  <c r="H16" i="1"/>
  <c r="F16" i="1"/>
  <c r="D16" i="1"/>
  <c r="H134" i="1" l="1"/>
  <c r="H133" i="1" s="1"/>
  <c r="I44" i="1"/>
  <c r="H27" i="1"/>
  <c r="I150" i="1"/>
  <c r="G107" i="1"/>
  <c r="I107" i="1"/>
  <c r="F184" i="1"/>
  <c r="G184" i="1" s="1"/>
  <c r="G249" i="1"/>
  <c r="F253" i="1"/>
  <c r="G253" i="1" s="1"/>
  <c r="H391" i="1"/>
  <c r="F26" i="1"/>
  <c r="F44" i="1" s="1"/>
  <c r="H184" i="1"/>
  <c r="H423" i="1"/>
  <c r="H34" i="1"/>
  <c r="H26" i="1" s="1"/>
  <c r="H95" i="1"/>
  <c r="F299" i="1"/>
  <c r="G295" i="1"/>
  <c r="F107" i="1"/>
  <c r="F150" i="1"/>
  <c r="G299" i="1"/>
  <c r="G423" i="1"/>
  <c r="G27" i="1"/>
  <c r="G26" i="1" s="1"/>
  <c r="G44" i="1" s="1"/>
  <c r="G139" i="1"/>
  <c r="G133" i="1" s="1"/>
  <c r="G150" i="1" s="1"/>
  <c r="G96" i="1"/>
  <c r="G95" i="1" s="1"/>
  <c r="G413" i="1"/>
  <c r="H55" i="1"/>
  <c r="H93" i="1"/>
  <c r="H92" i="1" s="1"/>
  <c r="H107" i="1" s="1"/>
  <c r="H129" i="1"/>
  <c r="H128" i="1" s="1"/>
  <c r="G350" i="1"/>
  <c r="H25" i="1"/>
  <c r="H23" i="1" s="1"/>
  <c r="G175" i="1"/>
  <c r="H150" i="1" l="1"/>
  <c r="H44" i="1"/>
</calcChain>
</file>

<file path=xl/sharedStrings.xml><?xml version="1.0" encoding="utf-8"?>
<sst xmlns="http://schemas.openxmlformats.org/spreadsheetml/2006/main" count="359" uniqueCount="151">
  <si>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</si>
  <si>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</si>
  <si>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</si>
  <si>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</si>
  <si>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</si>
  <si>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</si>
  <si>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</si>
  <si>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</si>
  <si>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</si>
  <si>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</si>
  <si>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</si>
  <si>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</si>
  <si>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</si>
  <si>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</si>
  <si>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</si>
  <si>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</si>
  <si>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</si>
  <si>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</si>
  <si>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</si>
  <si>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</si>
  <si>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</si>
  <si>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</si>
  <si>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</si>
  <si>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</si>
  <si>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</si>
  <si>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</si>
  <si>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</si>
  <si>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</si>
  <si>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</si>
  <si>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</si>
  <si>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</si>
  <si>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</si>
  <si>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</si>
  <si>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</si>
  <si>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</si>
  <si>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</si>
  <si>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</si>
  <si>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</si>
  <si>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</si>
  <si>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</si>
  <si>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</si>
  <si>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</si>
  <si>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</si>
  <si>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</si>
  <si>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</si>
  <si>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</si>
  <si>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</si>
  <si>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</si>
  <si>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</si>
  <si>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</si>
  <si>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</si>
  <si>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</si>
  <si>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</si>
  <si>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</si>
  <si>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</si>
  <si>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</si>
  <si>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</si>
  <si>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</si>
  <si>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</si>
  <si>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</si>
  <si>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</si>
  <si>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</si>
  <si>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</si>
  <si>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</si>
  <si>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</si>
  <si>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</si>
  <si>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</si>
  <si>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</si>
  <si>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</si>
  <si>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</si>
  <si>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</si>
  <si>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</si>
  <si>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</si>
  <si>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</si>
  <si>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</si>
  <si>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</si>
  <si>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</si>
  <si>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</si>
  <si>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</si>
  <si>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</si>
  <si>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</si>
  <si>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</si>
  <si>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</si>
  <si>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</si>
  <si>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</si>
  <si>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</si>
  <si>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</si>
  <si>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</si>
  <si>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</si>
  <si>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</si>
  <si>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</si>
  <si>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</si>
  <si>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</si>
  <si>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</si>
  <si>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</si>
  <si>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</si>
  <si>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</si>
  <si>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</si>
  <si>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</si>
  <si>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</si>
  <si>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</si>
  <si>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</si>
  <si>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</si>
  <si>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</si>
  <si>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</si>
  <si>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</si>
  <si>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</si>
  <si>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</si>
  <si>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</si>
  <si>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</si>
  <si>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</si>
  <si>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</si>
  <si>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</si>
  <si>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</si>
  <si>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</si>
  <si>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</si>
  <si>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</si>
  <si>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</si>
  <si>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</si>
  <si>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</si>
  <si>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</si>
  <si>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</si>
  <si>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</si>
  <si>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</si>
  <si>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</si>
  <si>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</si>
  <si>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</si>
  <si>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</si>
  <si>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</si>
  <si>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</si>
  <si>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</si>
  <si>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</si>
  <si>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</si>
  <si>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</si>
  <si>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</si>
  <si>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</si>
  <si>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</si>
  <si>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</si>
  <si>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</si>
  <si>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</si>
  <si>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t>JUSTERTE KVOTER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</si>
  <si>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</si>
  <si>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</si>
  <si>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t>2 Registrert rekreasjonsfiske utgjør 62 tonn, men det legges til grunn at hele avsetningen tas</t>
  </si>
  <si>
    <t>4 Registrert rekreasjonsfiske utgjør 520 tonn, men det legges til grunn at hele avsetningen tas</t>
  </si>
  <si>
    <t>3 Registrert rekreasjonsfiske utgjør 897 tonn, men det legges til grunn at hele avsetningen tas</t>
  </si>
  <si>
    <t>FANGST UKE 48</t>
  </si>
  <si>
    <t>FANGST T.O.M UKE 48</t>
  </si>
  <si>
    <t>RESTKVOTER UKE 48</t>
  </si>
  <si>
    <t>FANGST T.O.M UKE 48 2023</t>
  </si>
  <si>
    <r>
      <t>3</t>
    </r>
    <r>
      <rPr>
        <sz val="9"/>
        <color indexed="8"/>
        <rFont val="Calibri"/>
        <family val="2"/>
      </rPr>
      <t xml:space="preserve"> Det er fisket 7 183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</si>
</sst>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C127" zoomScale="85" zoomScaleNormal="85" zoomScaleSheetLayoutView="100" zoomScalePageLayoutView="85" workbookViewId="0">
      <selection activeCell="F137" sqref="F137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03" t="s">
        <v>118</v>
      </c>
      <c r="C2" s="304"/>
      <c r="D2" s="304"/>
      <c r="E2" s="304"/>
      <c r="F2" s="304"/>
      <c r="G2" s="304"/>
      <c r="H2" s="304"/>
      <c r="I2" s="304"/>
      <c r="J2" s="305"/>
    </row>
    <row r="3" spans="1:10" ht="14.9" customHeight="1" x14ac:dyDescent="0.35">
      <c r="A3" s="1"/>
      <c r="B3" s="1"/>
      <c r="C3" s="1" t="s">
        <v>113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113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113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113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113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6"/>
      <c r="C9" s="307"/>
      <c r="D9" s="307"/>
      <c r="E9" s="307"/>
      <c r="F9" s="307"/>
      <c r="G9" s="307"/>
      <c r="H9" s="307"/>
      <c r="I9" s="307"/>
      <c r="J9" s="308"/>
    </row>
    <row r="10" spans="1:10" ht="12" customHeight="1" x14ac:dyDescent="0.3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298" t="s">
        <v>1</v>
      </c>
      <c r="D11" s="299"/>
      <c r="E11" s="298" t="s">
        <v>2</v>
      </c>
      <c r="F11" s="299"/>
      <c r="G11" s="298" t="s">
        <v>3</v>
      </c>
      <c r="H11" s="299"/>
      <c r="I11" s="178"/>
      <c r="J11" s="244"/>
    </row>
    <row r="12" spans="1:10" ht="14.15" customHeight="1" x14ac:dyDescent="0.3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3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3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3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5" customHeight="1" x14ac:dyDescent="0.3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35">
      <c r="A17" s="101"/>
      <c r="B17" s="24"/>
      <c r="C17" s="302" t="s">
        <v>135</v>
      </c>
      <c r="D17" s="302"/>
      <c r="E17" s="302"/>
      <c r="F17" s="302"/>
      <c r="G17" s="302"/>
      <c r="H17" s="302"/>
      <c r="I17" s="101"/>
      <c r="J17" s="157"/>
    </row>
    <row r="18" spans="1:10" ht="15" customHeight="1" x14ac:dyDescent="0.3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3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3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3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3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5" customHeight="1" x14ac:dyDescent="0.3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876.91</v>
      </c>
      <c r="G23" s="28">
        <f t="shared" si="0"/>
        <v>50691.633740000005</v>
      </c>
      <c r="H23" s="11">
        <f t="shared" si="0"/>
        <v>10120.366259999999</v>
      </c>
      <c r="I23" s="11">
        <f t="shared" si="0"/>
        <v>75438.983139999997</v>
      </c>
      <c r="J23" s="244"/>
    </row>
    <row r="24" spans="1:10" ht="14.15" customHeight="1" x14ac:dyDescent="0.35">
      <c r="A24" s="1"/>
      <c r="B24" s="254"/>
      <c r="C24" s="44" t="s">
        <v>20</v>
      </c>
      <c r="D24" s="45">
        <v>61689</v>
      </c>
      <c r="E24" s="45">
        <v>60042</v>
      </c>
      <c r="F24" s="23">
        <f>875.938</f>
        <v>875.93799999999999</v>
      </c>
      <c r="G24" s="23">
        <f>50130.50381</f>
        <v>50130.503810000002</v>
      </c>
      <c r="H24" s="23">
        <f>E24-G24</f>
        <v>9911.496189999998</v>
      </c>
      <c r="I24" s="23">
        <f>74793.13029</f>
        <v>74793.130290000001</v>
      </c>
      <c r="J24" s="244"/>
    </row>
    <row r="25" spans="1:10" ht="14.15" customHeight="1" x14ac:dyDescent="0.35">
      <c r="A25" s="1"/>
      <c r="B25" s="254"/>
      <c r="C25" s="48" t="s">
        <v>21</v>
      </c>
      <c r="D25" s="49">
        <v>750</v>
      </c>
      <c r="E25" s="49">
        <v>770</v>
      </c>
      <c r="F25" s="171">
        <f>0.972</f>
        <v>0.97199999999999998</v>
      </c>
      <c r="G25" s="23">
        <f>561.12993</f>
        <v>561.12992999999994</v>
      </c>
      <c r="H25" s="23">
        <f>E25-G25</f>
        <v>208.87007000000006</v>
      </c>
      <c r="I25" s="23">
        <f>645.85285</f>
        <v>645.85284999999999</v>
      </c>
      <c r="J25" s="244"/>
    </row>
    <row r="26" spans="1:10" ht="14.15" customHeight="1" x14ac:dyDescent="0.3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2205.4437199999998</v>
      </c>
      <c r="G26" s="11">
        <f t="shared" si="1"/>
        <v>132927.02416</v>
      </c>
      <c r="H26" s="11">
        <f t="shared" si="1"/>
        <v>11946.975839999997</v>
      </c>
      <c r="I26" s="11">
        <f t="shared" si="1"/>
        <v>199948.19845999999</v>
      </c>
      <c r="J26" s="244"/>
    </row>
    <row r="27" spans="1:10" ht="15" customHeight="1" x14ac:dyDescent="0.3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985.47266000000002</v>
      </c>
      <c r="G27" s="132">
        <f t="shared" ref="G27:I27" si="2">G28+G29+G30+G31+G32</f>
        <v>105953.77768</v>
      </c>
      <c r="H27" s="132">
        <f t="shared" si="2"/>
        <v>7024.2223199999971</v>
      </c>
      <c r="I27" s="132">
        <f t="shared" si="2"/>
        <v>153676.37117</v>
      </c>
      <c r="J27" s="244"/>
    </row>
    <row r="28" spans="1:10" ht="14.15" customHeight="1" x14ac:dyDescent="0.35">
      <c r="A28" s="197"/>
      <c r="B28" s="182"/>
      <c r="C28" s="62" t="s">
        <v>24</v>
      </c>
      <c r="D28" s="63">
        <v>26791</v>
      </c>
      <c r="E28" s="63">
        <v>28630</v>
      </c>
      <c r="F28" s="203">
        <f>211.54363</f>
        <v>211.54363000000001</v>
      </c>
      <c r="G28" s="127">
        <f>27869.13506 - G56</f>
        <v>26228.135060000001</v>
      </c>
      <c r="H28" s="127">
        <f t="shared" ref="H28:H40" si="3">E28-G28</f>
        <v>2401.8649399999995</v>
      </c>
      <c r="I28" s="127">
        <f>38908.97642 - H56</f>
        <v>38908.976419999999</v>
      </c>
      <c r="J28" s="65"/>
    </row>
    <row r="29" spans="1:10" ht="14.15" customHeight="1" x14ac:dyDescent="0.35">
      <c r="A29" s="197"/>
      <c r="B29" s="182"/>
      <c r="C29" s="62" t="s">
        <v>25</v>
      </c>
      <c r="D29" s="63">
        <v>28753</v>
      </c>
      <c r="E29" s="63">
        <v>29665</v>
      </c>
      <c r="F29" s="127">
        <f>218.71581</f>
        <v>218.71581</v>
      </c>
      <c r="G29" s="127">
        <f>30421.97259 - G57</f>
        <v>28418.972590000001</v>
      </c>
      <c r="H29" s="127">
        <f t="shared" si="3"/>
        <v>1246.0274099999988</v>
      </c>
      <c r="I29" s="127">
        <f>42181.72156 - H57</f>
        <v>42181.721559999998</v>
      </c>
      <c r="J29" s="65"/>
    </row>
    <row r="30" spans="1:10" ht="14.15" customHeight="1" x14ac:dyDescent="0.35">
      <c r="A30" s="197"/>
      <c r="B30" s="182"/>
      <c r="C30" s="62" t="s">
        <v>26</v>
      </c>
      <c r="D30" s="63">
        <v>25789</v>
      </c>
      <c r="E30" s="63">
        <v>27244</v>
      </c>
      <c r="F30" s="127">
        <f>33.26848</f>
        <v>33.268479999999997</v>
      </c>
      <c r="G30" s="127">
        <f>27355.54892 - G58</f>
        <v>25947.548920000001</v>
      </c>
      <c r="H30" s="127">
        <f t="shared" si="3"/>
        <v>1296.4510799999989</v>
      </c>
      <c r="I30" s="127">
        <f>38300.56513 - H58</f>
        <v>38300.565130000003</v>
      </c>
      <c r="J30" s="65"/>
    </row>
    <row r="31" spans="1:10" ht="14.15" customHeight="1" x14ac:dyDescent="0.35">
      <c r="A31" s="197"/>
      <c r="B31" s="182"/>
      <c r="C31" s="62" t="s">
        <v>27</v>
      </c>
      <c r="D31" s="63">
        <v>18937</v>
      </c>
      <c r="E31" s="63">
        <v>19339</v>
      </c>
      <c r="F31" s="127">
        <f>85.94474</f>
        <v>85.944739999999996</v>
      </c>
      <c r="G31" s="127">
        <f>20307.12111 - G59</f>
        <v>19079.12111</v>
      </c>
      <c r="H31" s="127">
        <f t="shared" si="3"/>
        <v>259.87888999999996</v>
      </c>
      <c r="I31" s="127">
        <f>25634.10806 - H59</f>
        <v>25634.108059999999</v>
      </c>
      <c r="J31" s="65"/>
    </row>
    <row r="32" spans="1:10" ht="14.15" customHeight="1" x14ac:dyDescent="0.35">
      <c r="A32" s="197"/>
      <c r="B32" s="182"/>
      <c r="C32" s="62" t="s">
        <v>28</v>
      </c>
      <c r="D32" s="63">
        <v>7872</v>
      </c>
      <c r="E32" s="63">
        <v>8100</v>
      </c>
      <c r="F32" s="127">
        <f>F55</f>
        <v>436</v>
      </c>
      <c r="G32" s="127">
        <f>G55</f>
        <v>6280</v>
      </c>
      <c r="H32" s="127">
        <f t="shared" si="3"/>
        <v>1820</v>
      </c>
      <c r="I32" s="127">
        <f>I55</f>
        <v>8651</v>
      </c>
      <c r="J32" s="65"/>
    </row>
    <row r="33" spans="1:13" ht="14.15" customHeight="1" x14ac:dyDescent="0.35">
      <c r="A33" s="66"/>
      <c r="B33" s="53"/>
      <c r="C33" s="56" t="s">
        <v>29</v>
      </c>
      <c r="D33" s="58">
        <v>16997</v>
      </c>
      <c r="E33" s="58">
        <v>16859</v>
      </c>
      <c r="F33" s="132">
        <f>1063.64088</f>
        <v>1063.6408799999999</v>
      </c>
      <c r="G33" s="132">
        <f>14355.86435</f>
        <v>14355.86435</v>
      </c>
      <c r="H33" s="132">
        <f t="shared" si="3"/>
        <v>2503.1356500000002</v>
      </c>
      <c r="I33" s="132">
        <f>20030.9146</f>
        <v>20030.9146</v>
      </c>
      <c r="J33" s="65"/>
    </row>
    <row r="34" spans="1:13" ht="14.15" customHeight="1" x14ac:dyDescent="0.3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156.33017999999998</v>
      </c>
      <c r="G34" s="132">
        <f>G35+G36</f>
        <v>12617.38213</v>
      </c>
      <c r="H34" s="132">
        <f t="shared" si="3"/>
        <v>2419.61787</v>
      </c>
      <c r="I34" s="132">
        <f>I35+I36</f>
        <v>26240.912690000001</v>
      </c>
      <c r="J34" s="65"/>
    </row>
    <row r="35" spans="1:13" ht="14.15" customHeight="1" x14ac:dyDescent="0.3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89.33018</f>
        <v>89.330179999999999</v>
      </c>
      <c r="G35" s="132">
        <f>15531.38213 - G60 - G61</f>
        <v>11718.38213</v>
      </c>
      <c r="H35" s="127">
        <f t="shared" si="3"/>
        <v>2358.61787</v>
      </c>
      <c r="I35" s="127">
        <f>25401.91269 - H60 - H61</f>
        <v>25254.912690000001</v>
      </c>
      <c r="J35" s="65"/>
    </row>
    <row r="36" spans="1:13" ht="14.15" customHeight="1" x14ac:dyDescent="0.35">
      <c r="A36" s="197"/>
      <c r="B36" s="182"/>
      <c r="C36" s="69" t="s">
        <v>32</v>
      </c>
      <c r="D36" s="70">
        <v>960</v>
      </c>
      <c r="E36" s="70">
        <v>960</v>
      </c>
      <c r="F36" s="71">
        <f>F60</f>
        <v>67</v>
      </c>
      <c r="G36" s="71">
        <f>G60</f>
        <v>899</v>
      </c>
      <c r="H36" s="71">
        <f t="shared" si="3"/>
        <v>61</v>
      </c>
      <c r="I36" s="71">
        <f>I60</f>
        <v>986</v>
      </c>
      <c r="J36" s="65"/>
    </row>
    <row r="37" spans="1:13" ht="15.75" customHeight="1" x14ac:dyDescent="0.3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5" customHeight="1" x14ac:dyDescent="0.35">
      <c r="A38" s="1"/>
      <c r="B38" s="254"/>
      <c r="C38" s="73" t="s">
        <v>34</v>
      </c>
      <c r="D38" s="143">
        <v>855</v>
      </c>
      <c r="E38" s="143">
        <v>855</v>
      </c>
      <c r="F38" s="98">
        <f>10.6539</f>
        <v>10.6539</v>
      </c>
      <c r="G38" s="98">
        <f>523.21696</f>
        <v>523.21695999999997</v>
      </c>
      <c r="H38" s="98">
        <f t="shared" si="3"/>
        <v>331.78304000000003</v>
      </c>
      <c r="I38" s="98">
        <f>597.982</f>
        <v>597.98199999999997</v>
      </c>
      <c r="J38" s="244"/>
    </row>
    <row r="39" spans="1:13" ht="17.25" customHeight="1" x14ac:dyDescent="0.35">
      <c r="A39" s="1"/>
      <c r="B39" s="254"/>
      <c r="C39" s="73" t="s">
        <v>35</v>
      </c>
      <c r="D39" s="143">
        <v>3000</v>
      </c>
      <c r="E39" s="143">
        <v>3000</v>
      </c>
      <c r="F39" s="98">
        <f>F61</f>
        <v>7</v>
      </c>
      <c r="G39" s="98">
        <f>G61</f>
        <v>2914</v>
      </c>
      <c r="H39" s="98">
        <f t="shared" si="3"/>
        <v>86</v>
      </c>
      <c r="I39" s="98">
        <f>I61</f>
        <v>4495</v>
      </c>
      <c r="J39" s="244"/>
    </row>
    <row r="40" spans="1:13" ht="17.25" customHeight="1" x14ac:dyDescent="0.35">
      <c r="A40" s="1"/>
      <c r="B40" s="254"/>
      <c r="C40" s="73" t="s">
        <v>36</v>
      </c>
      <c r="D40" s="143">
        <v>7000</v>
      </c>
      <c r="E40" s="143">
        <v>7000</v>
      </c>
      <c r="F40" s="98">
        <f>2.74184</f>
        <v>2.7418399999999998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35">
      <c r="A41" s="1"/>
      <c r="B41" s="254"/>
      <c r="C41" s="73" t="s">
        <v>38</v>
      </c>
      <c r="D41" s="143">
        <v>400</v>
      </c>
      <c r="E41" s="143">
        <v>400</v>
      </c>
      <c r="F41" s="98">
        <f>4.83839</f>
        <v>4.8383900000000004</v>
      </c>
      <c r="G41" s="98">
        <f>358.38745</f>
        <v>358.38745</v>
      </c>
      <c r="H41" s="98">
        <f>E41-G41</f>
        <v>41.612549999999999</v>
      </c>
      <c r="I41" s="98">
        <f>362.54</f>
        <v>362.54</v>
      </c>
      <c r="J41" s="244"/>
    </row>
    <row r="42" spans="1:13" ht="17.25" customHeight="1" x14ac:dyDescent="0.35">
      <c r="A42" s="1"/>
      <c r="B42" s="254"/>
      <c r="C42" s="73" t="s">
        <v>125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5" customHeight="1" x14ac:dyDescent="0.35">
      <c r="A43" s="1"/>
      <c r="B43" s="254"/>
      <c r="C43" s="73" t="s">
        <v>39</v>
      </c>
      <c r="D43" s="143"/>
      <c r="E43" s="139"/>
      <c r="F43" s="139">
        <f>0.195</f>
        <v>0.19500000000000001</v>
      </c>
      <c r="G43" s="139">
        <f>143.26076</f>
        <v>143.26076</v>
      </c>
      <c r="H43" s="139">
        <f t="shared" ref="H43" si="4">E43-G43</f>
        <v>-143.26076</v>
      </c>
      <c r="I43" s="139">
        <f>205.55677</f>
        <v>205.55677</v>
      </c>
      <c r="J43" s="244"/>
    </row>
    <row r="44" spans="1:13" ht="16.5" customHeight="1" x14ac:dyDescent="0.3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3107.7828499999996</v>
      </c>
      <c r="G44" s="76">
        <f t="shared" si="5"/>
        <v>194905.88827</v>
      </c>
      <c r="H44" s="76">
        <f t="shared" si="5"/>
        <v>24135.111729999993</v>
      </c>
      <c r="I44" s="76">
        <f t="shared" si="5"/>
        <v>288795.05197000003</v>
      </c>
      <c r="J44" s="244"/>
    </row>
    <row r="45" spans="1:13" ht="14.15" customHeight="1" x14ac:dyDescent="0.35">
      <c r="A45" s="101"/>
      <c r="B45" s="24"/>
      <c r="C45" s="77" t="s">
        <v>126</v>
      </c>
      <c r="D45" s="258"/>
      <c r="E45" s="258"/>
      <c r="F45" s="80"/>
      <c r="G45" s="80"/>
      <c r="H45" s="228"/>
      <c r="I45" s="228"/>
      <c r="J45" s="81"/>
    </row>
    <row r="46" spans="1:13" ht="14.15" customHeight="1" x14ac:dyDescent="0.3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5" customHeight="1" x14ac:dyDescent="0.3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5" customHeight="1" x14ac:dyDescent="0.35">
      <c r="A48" s="101"/>
      <c r="B48" s="24"/>
      <c r="C48" s="161" t="s">
        <v>127</v>
      </c>
      <c r="D48" s="258"/>
      <c r="E48" s="258"/>
      <c r="F48" s="258"/>
      <c r="G48" s="258"/>
      <c r="H48" s="178"/>
      <c r="I48" s="178"/>
      <c r="J48" s="120"/>
    </row>
    <row r="49" spans="1:10" ht="14.15" customHeight="1" x14ac:dyDescent="0.3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0" ht="14.15" customHeight="1" x14ac:dyDescent="0.3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0" ht="20.25" customHeight="1" x14ac:dyDescent="0.3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0" ht="33" customHeight="1" x14ac:dyDescent="0.35">
      <c r="A52" s="101"/>
      <c r="B52" s="24"/>
      <c r="C52" s="294" t="s">
        <v>43</v>
      </c>
      <c r="D52" s="294"/>
      <c r="E52" s="294"/>
      <c r="F52" s="294"/>
      <c r="G52" s="294"/>
      <c r="H52" s="294"/>
      <c r="I52" s="83"/>
      <c r="J52" s="84"/>
    </row>
    <row r="53" spans="1:10" ht="7.5" customHeight="1" x14ac:dyDescent="0.35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0" ht="61.5" customHeight="1" x14ac:dyDescent="0.35">
      <c r="A54" s="101"/>
      <c r="B54" s="24"/>
      <c r="C54" s="86" t="s">
        <v>16</v>
      </c>
      <c r="D54" s="68" t="s">
        <v>44</v>
      </c>
      <c r="E54" s="68" t="s">
        <v>139</v>
      </c>
      <c r="F54" s="68" t="s">
        <v>146</v>
      </c>
      <c r="G54" s="68" t="s">
        <v>147</v>
      </c>
      <c r="H54" s="68" t="s">
        <v>148</v>
      </c>
      <c r="I54" s="68" t="s">
        <v>149</v>
      </c>
      <c r="J54" s="244"/>
    </row>
    <row r="55" spans="1:10" ht="14.15" customHeight="1" x14ac:dyDescent="0.35">
      <c r="A55" s="101"/>
      <c r="B55" s="24"/>
      <c r="C55" s="16" t="s">
        <v>45</v>
      </c>
      <c r="D55" s="295">
        <v>7872</v>
      </c>
      <c r="E55" s="295">
        <v>8100</v>
      </c>
      <c r="F55" s="11">
        <f>F59+F58+F57+F56</f>
        <v>436</v>
      </c>
      <c r="G55" s="11">
        <f>G59+G58+G57+G56</f>
        <v>6280</v>
      </c>
      <c r="H55" s="295">
        <f>E55-G55</f>
        <v>1820</v>
      </c>
      <c r="I55" s="11">
        <f>I59+I58+I57+I56</f>
        <v>8651</v>
      </c>
      <c r="J55" s="120"/>
    </row>
    <row r="56" spans="1:10" ht="14.15" customHeight="1" x14ac:dyDescent="0.35">
      <c r="A56" s="101"/>
      <c r="B56" s="24"/>
      <c r="C56" s="62" t="s">
        <v>24</v>
      </c>
      <c r="D56" s="296"/>
      <c r="E56" s="296"/>
      <c r="F56" s="127">
        <v>173</v>
      </c>
      <c r="G56" s="127">
        <v>1641</v>
      </c>
      <c r="H56" s="296"/>
      <c r="I56" s="127">
        <v>1654</v>
      </c>
      <c r="J56" s="120"/>
    </row>
    <row r="57" spans="1:10" ht="14.15" customHeight="1" x14ac:dyDescent="0.35">
      <c r="A57" s="101"/>
      <c r="B57" s="24"/>
      <c r="C57" s="62" t="s">
        <v>25</v>
      </c>
      <c r="D57" s="296"/>
      <c r="E57" s="296"/>
      <c r="F57" s="127">
        <v>160</v>
      </c>
      <c r="G57" s="127">
        <v>2003</v>
      </c>
      <c r="H57" s="296"/>
      <c r="I57" s="127">
        <v>2938</v>
      </c>
      <c r="J57" s="244"/>
    </row>
    <row r="58" spans="1:10" ht="14.15" customHeight="1" x14ac:dyDescent="0.35">
      <c r="A58" s="101"/>
      <c r="B58" s="24"/>
      <c r="C58" s="62" t="s">
        <v>26</v>
      </c>
      <c r="D58" s="296"/>
      <c r="E58" s="296"/>
      <c r="F58" s="127">
        <v>29</v>
      </c>
      <c r="G58" s="127">
        <v>1408</v>
      </c>
      <c r="H58" s="296"/>
      <c r="I58" s="127">
        <v>2706</v>
      </c>
      <c r="J58" s="120"/>
    </row>
    <row r="59" spans="1:10" ht="14.15" customHeight="1" x14ac:dyDescent="0.35">
      <c r="A59" s="101"/>
      <c r="B59" s="24"/>
      <c r="C59" s="87" t="s">
        <v>27</v>
      </c>
      <c r="D59" s="297"/>
      <c r="E59" s="297"/>
      <c r="F59" s="192">
        <v>74</v>
      </c>
      <c r="G59" s="192">
        <v>1228</v>
      </c>
      <c r="H59" s="297"/>
      <c r="I59" s="192">
        <v>1353</v>
      </c>
      <c r="J59" s="120"/>
    </row>
    <row r="60" spans="1:10" ht="14.15" customHeight="1" x14ac:dyDescent="0.35">
      <c r="A60" s="101"/>
      <c r="B60" s="24"/>
      <c r="C60" s="88" t="s">
        <v>46</v>
      </c>
      <c r="D60" s="95">
        <v>960</v>
      </c>
      <c r="E60" s="95">
        <v>960</v>
      </c>
      <c r="F60" s="95">
        <v>67</v>
      </c>
      <c r="G60" s="95">
        <v>899</v>
      </c>
      <c r="H60" s="95">
        <f>E60-G60</f>
        <v>61</v>
      </c>
      <c r="I60" s="95">
        <v>986</v>
      </c>
      <c r="J60" s="244"/>
    </row>
    <row r="61" spans="1:10" ht="14.15" customHeight="1" x14ac:dyDescent="0.35">
      <c r="A61" s="101"/>
      <c r="B61" s="24"/>
      <c r="C61" s="142" t="s">
        <v>47</v>
      </c>
      <c r="D61" s="139">
        <v>3000</v>
      </c>
      <c r="E61" s="139">
        <v>3000</v>
      </c>
      <c r="F61" s="139">
        <v>7</v>
      </c>
      <c r="G61" s="139">
        <v>2914</v>
      </c>
      <c r="H61" s="139">
        <f>E61-G61</f>
        <v>86</v>
      </c>
      <c r="I61" s="139">
        <v>4495</v>
      </c>
      <c r="J61" s="120"/>
    </row>
    <row r="62" spans="1:10" ht="14.15" customHeight="1" x14ac:dyDescent="0.35">
      <c r="A62" s="101"/>
      <c r="B62" s="24"/>
      <c r="C62" s="77" t="s">
        <v>128</v>
      </c>
      <c r="D62" s="258"/>
      <c r="E62" s="258"/>
      <c r="F62" s="258"/>
      <c r="G62" s="258"/>
      <c r="H62" s="178"/>
      <c r="I62" s="178"/>
      <c r="J62" s="120"/>
    </row>
    <row r="63" spans="1:10" ht="14.15" customHeight="1" x14ac:dyDescent="0.3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5" customHeight="1" x14ac:dyDescent="0.3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3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35">
      <c r="B68" s="1" t="s">
        <v>113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35"/>
    <row r="77" spans="1:10" ht="204" customHeight="1" x14ac:dyDescent="0.35"/>
    <row r="78" spans="1:10" ht="17.149999999999999" customHeight="1" x14ac:dyDescent="0.3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35">
      <c r="B79" s="2"/>
      <c r="C79" s="219"/>
      <c r="D79" s="2"/>
      <c r="E79" s="2"/>
      <c r="F79" s="2"/>
      <c r="G79" s="2"/>
      <c r="H79" s="2"/>
      <c r="I79" s="2"/>
      <c r="J79" s="2"/>
    </row>
    <row r="80" spans="1:10" ht="14.15" customHeight="1" x14ac:dyDescent="0.3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35">
      <c r="B81" s="52"/>
      <c r="C81" s="298" t="s">
        <v>1</v>
      </c>
      <c r="D81" s="299"/>
      <c r="E81" s="298" t="s">
        <v>2</v>
      </c>
      <c r="F81" s="300"/>
      <c r="G81" s="298" t="s">
        <v>3</v>
      </c>
      <c r="H81" s="299"/>
      <c r="I81" s="178"/>
      <c r="J81" s="244"/>
    </row>
    <row r="82" spans="1:10" ht="15" customHeight="1" x14ac:dyDescent="0.3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3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5" customHeight="1" x14ac:dyDescent="0.3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3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35">
      <c r="A86" s="1"/>
      <c r="B86" s="254"/>
      <c r="C86" s="101" t="s">
        <v>136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3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5" customHeight="1" x14ac:dyDescent="0.3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3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4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3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5" customHeight="1" x14ac:dyDescent="0.3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41.1432</v>
      </c>
      <c r="G92" s="11">
        <f t="shared" si="6"/>
        <v>24884.64489</v>
      </c>
      <c r="H92" s="11">
        <f t="shared" si="6"/>
        <v>1076.3551099999997</v>
      </c>
      <c r="I92" s="11">
        <f t="shared" si="6"/>
        <v>44381.197359999998</v>
      </c>
      <c r="J92" s="244"/>
    </row>
    <row r="93" spans="1:10" ht="15" customHeight="1" x14ac:dyDescent="0.35">
      <c r="A93" s="1"/>
      <c r="B93" s="254"/>
      <c r="C93" s="44" t="s">
        <v>20</v>
      </c>
      <c r="D93" s="45">
        <v>25957</v>
      </c>
      <c r="E93" s="45">
        <v>25136</v>
      </c>
      <c r="F93" s="23">
        <f>39.7152</f>
        <v>39.715200000000003</v>
      </c>
      <c r="G93" s="23">
        <f>24081.24754</f>
        <v>24081.24754</v>
      </c>
      <c r="H93" s="23">
        <f>E93-G93</f>
        <v>1054.7524599999997</v>
      </c>
      <c r="I93" s="23">
        <f>43733.02837</f>
        <v>43733.02837</v>
      </c>
      <c r="J93" s="244"/>
    </row>
    <row r="94" spans="1:10" ht="14.15" customHeight="1" x14ac:dyDescent="0.35">
      <c r="A94" s="1"/>
      <c r="B94" s="254"/>
      <c r="C94" s="64" t="s">
        <v>21</v>
      </c>
      <c r="D94" s="49">
        <v>750</v>
      </c>
      <c r="E94" s="49">
        <v>825</v>
      </c>
      <c r="F94" s="50">
        <f>1.428</f>
        <v>1.4279999999999999</v>
      </c>
      <c r="G94" s="50">
        <f>803.39735</f>
        <v>803.39734999999996</v>
      </c>
      <c r="H94" s="50">
        <f>E94-G94</f>
        <v>21.60265000000004</v>
      </c>
      <c r="I94" s="50">
        <f>648.16899</f>
        <v>648.16899000000001</v>
      </c>
      <c r="J94" s="244"/>
    </row>
    <row r="95" spans="1:10" ht="15.75" customHeight="1" x14ac:dyDescent="0.3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591.81811999999991</v>
      </c>
      <c r="G95" s="11">
        <f t="shared" si="7"/>
        <v>43462.053869999996</v>
      </c>
      <c r="H95" s="11">
        <f t="shared" si="7"/>
        <v>5531.9461300000003</v>
      </c>
      <c r="I95" s="11">
        <f t="shared" si="7"/>
        <v>40518.34345</v>
      </c>
      <c r="J95" s="244"/>
    </row>
    <row r="96" spans="1:10" ht="14.15" customHeight="1" x14ac:dyDescent="0.3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205.94892000000002</v>
      </c>
      <c r="G96" s="132">
        <f t="shared" si="8"/>
        <v>34068.10901</v>
      </c>
      <c r="H96" s="132">
        <f t="shared" si="8"/>
        <v>3425.8909900000008</v>
      </c>
      <c r="I96" s="132">
        <f t="shared" si="8"/>
        <v>26197.113599999997</v>
      </c>
      <c r="J96" s="244"/>
    </row>
    <row r="97" spans="1:10" ht="14.15" customHeight="1" x14ac:dyDescent="0.35">
      <c r="A97" s="197"/>
      <c r="B97" s="182"/>
      <c r="C97" s="62" t="s">
        <v>24</v>
      </c>
      <c r="D97" s="63">
        <v>8940</v>
      </c>
      <c r="E97" s="63">
        <v>10015</v>
      </c>
      <c r="F97" s="127">
        <f>99.86313</f>
        <v>99.863129999999998</v>
      </c>
      <c r="G97" s="127">
        <f>6067.56556</f>
        <v>6067.56556</v>
      </c>
      <c r="H97" s="127">
        <f t="shared" ref="H97:H104" si="9">E97-G97</f>
        <v>3947.43444</v>
      </c>
      <c r="I97" s="127">
        <f>5043.04508</f>
        <v>5043.0450799999999</v>
      </c>
      <c r="J97" s="244"/>
    </row>
    <row r="98" spans="1:10" ht="14.15" customHeight="1" x14ac:dyDescent="0.35">
      <c r="A98" s="197"/>
      <c r="B98" s="182"/>
      <c r="C98" s="62" t="s">
        <v>51</v>
      </c>
      <c r="D98" s="63">
        <v>9469</v>
      </c>
      <c r="E98" s="63">
        <v>10614</v>
      </c>
      <c r="F98" s="127">
        <f>46.10904</f>
        <v>46.10904</v>
      </c>
      <c r="G98" s="127">
        <f>10768.81619</f>
        <v>10768.81619</v>
      </c>
      <c r="H98" s="127">
        <f t="shared" si="9"/>
        <v>-154.81618999999955</v>
      </c>
      <c r="I98" s="127">
        <f>8594.08916</f>
        <v>8594.0891599999995</v>
      </c>
      <c r="J98" s="244"/>
    </row>
    <row r="99" spans="1:10" ht="14.15" customHeight="1" x14ac:dyDescent="0.35">
      <c r="A99" s="197"/>
      <c r="B99" s="182"/>
      <c r="C99" s="62" t="s">
        <v>52</v>
      </c>
      <c r="D99" s="63">
        <v>9029</v>
      </c>
      <c r="E99" s="63">
        <v>10112</v>
      </c>
      <c r="F99" s="127">
        <f>44.63157</f>
        <v>44.631570000000004</v>
      </c>
      <c r="G99" s="127">
        <f>10151.58549</f>
        <v>10151.585489999999</v>
      </c>
      <c r="H99" s="127">
        <f t="shared" si="9"/>
        <v>-39.585489999999481</v>
      </c>
      <c r="I99" s="127">
        <f>7186.54455</f>
        <v>7186.5445499999996</v>
      </c>
      <c r="J99" s="244"/>
    </row>
    <row r="100" spans="1:10" ht="14.15" customHeight="1" x14ac:dyDescent="0.35">
      <c r="A100" s="197"/>
      <c r="B100" s="182"/>
      <c r="C100" s="62" t="s">
        <v>27</v>
      </c>
      <c r="D100" s="63">
        <v>6030</v>
      </c>
      <c r="E100" s="63">
        <v>6753</v>
      </c>
      <c r="F100" s="127">
        <f>15.34518</f>
        <v>15.345179999999999</v>
      </c>
      <c r="G100" s="127">
        <f>7080.14177</f>
        <v>7080.1417700000002</v>
      </c>
      <c r="H100" s="127">
        <f t="shared" si="9"/>
        <v>-327.14177000000018</v>
      </c>
      <c r="I100" s="127">
        <f>5373.43481</f>
        <v>5373.4348099999997</v>
      </c>
      <c r="J100" s="244"/>
    </row>
    <row r="101" spans="1:10" ht="14.15" customHeight="1" x14ac:dyDescent="0.35">
      <c r="A101" s="197"/>
      <c r="B101" s="182"/>
      <c r="C101" s="56" t="s">
        <v>53</v>
      </c>
      <c r="D101" s="58">
        <v>7843</v>
      </c>
      <c r="E101" s="58">
        <v>7596</v>
      </c>
      <c r="F101" s="132">
        <f>328.75521</f>
        <v>328.75520999999998</v>
      </c>
      <c r="G101" s="132">
        <f>6560.15336</f>
        <v>6560.1533600000002</v>
      </c>
      <c r="H101" s="132">
        <f t="shared" si="9"/>
        <v>1035.8466399999998</v>
      </c>
      <c r="I101" s="132">
        <f>11805.73118</f>
        <v>11805.731180000001</v>
      </c>
      <c r="J101" s="244"/>
    </row>
    <row r="102" spans="1:10" ht="15.75" customHeight="1" x14ac:dyDescent="0.35">
      <c r="A102" s="1"/>
      <c r="B102" s="53"/>
      <c r="C102" s="38" t="s">
        <v>11</v>
      </c>
      <c r="D102" s="61">
        <v>3486</v>
      </c>
      <c r="E102" s="61">
        <v>3904</v>
      </c>
      <c r="F102" s="75">
        <f>57.11399</f>
        <v>57.113990000000001</v>
      </c>
      <c r="G102" s="75">
        <f>2833.7915</f>
        <v>2833.7914999999998</v>
      </c>
      <c r="H102" s="75">
        <f t="shared" si="9"/>
        <v>1070.2085000000002</v>
      </c>
      <c r="I102" s="75">
        <f>2515.49867</f>
        <v>2515.4986699999999</v>
      </c>
      <c r="J102" s="244"/>
    </row>
    <row r="103" spans="1:10" ht="15.75" customHeight="1" x14ac:dyDescent="0.35">
      <c r="A103" s="1"/>
      <c r="B103" s="53"/>
      <c r="C103" s="73" t="s">
        <v>34</v>
      </c>
      <c r="D103" s="89">
        <v>319</v>
      </c>
      <c r="E103" s="89">
        <v>319</v>
      </c>
      <c r="F103" s="98">
        <f>0.0811</f>
        <v>8.1100000000000005E-2</v>
      </c>
      <c r="G103" s="98">
        <f>36.63444</f>
        <v>36.634439999999998</v>
      </c>
      <c r="H103" s="98">
        <f t="shared" si="9"/>
        <v>282.36556000000002</v>
      </c>
      <c r="I103" s="98">
        <f>16.57705</f>
        <v>16.57705</v>
      </c>
      <c r="J103" s="244"/>
    </row>
    <row r="104" spans="1:10" ht="18" customHeight="1" x14ac:dyDescent="0.35">
      <c r="A104" s="1"/>
      <c r="B104" s="254"/>
      <c r="C104" s="73" t="s">
        <v>54</v>
      </c>
      <c r="D104" s="143">
        <v>300</v>
      </c>
      <c r="E104" s="143">
        <v>300</v>
      </c>
      <c r="F104" s="139">
        <f>0.21463</f>
        <v>0.21462999999999999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35">
      <c r="A105" s="1"/>
      <c r="B105" s="254"/>
      <c r="C105" s="93" t="s">
        <v>38</v>
      </c>
      <c r="D105" s="143">
        <v>50</v>
      </c>
      <c r="E105" s="143">
        <v>50</v>
      </c>
      <c r="F105" s="98">
        <f>1.58566</f>
        <v>1.5856600000000001</v>
      </c>
      <c r="G105" s="98">
        <f>55.98072</f>
        <v>55.980719999999998</v>
      </c>
      <c r="H105" s="139">
        <f>E105-G105</f>
        <v>-5.980719999999998</v>
      </c>
      <c r="I105" s="98">
        <f>16.50396</f>
        <v>16.503959999999999</v>
      </c>
      <c r="J105" s="244"/>
    </row>
    <row r="106" spans="1:10" ht="18" customHeight="1" x14ac:dyDescent="0.35">
      <c r="A106" s="1"/>
      <c r="B106" s="254"/>
      <c r="C106" s="93" t="s">
        <v>55</v>
      </c>
      <c r="D106" s="143"/>
      <c r="E106" s="139"/>
      <c r="F106" s="139">
        <f>0</f>
        <v>0</v>
      </c>
      <c r="G106" s="139">
        <f>52.57492</f>
        <v>52.574919999999999</v>
      </c>
      <c r="H106" s="139">
        <f t="shared" ref="H106" si="10">E106-G106</f>
        <v>-52.574919999999999</v>
      </c>
      <c r="I106" s="139">
        <f>100.66606</f>
        <v>100.66606</v>
      </c>
      <c r="J106" s="244"/>
    </row>
    <row r="107" spans="1:10" ht="16.5" customHeight="1" x14ac:dyDescent="0.3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634.8427099999999</v>
      </c>
      <c r="G107" s="76">
        <f t="shared" si="12"/>
        <v>68791.88884</v>
      </c>
      <c r="H107" s="76">
        <f t="shared" si="12"/>
        <v>6832.1111600000004</v>
      </c>
      <c r="I107" s="76">
        <f t="shared" si="12"/>
        <v>85333.287880000018</v>
      </c>
      <c r="J107" s="244"/>
    </row>
    <row r="108" spans="1:10" ht="13.5" customHeight="1" x14ac:dyDescent="0.35">
      <c r="A108" s="1"/>
      <c r="B108" s="254"/>
      <c r="C108" s="77" t="s">
        <v>129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3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35">
      <c r="A110" s="1"/>
      <c r="B110" s="24"/>
      <c r="C110" s="161" t="s">
        <v>130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3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3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35">
      <c r="A113" s="1"/>
      <c r="B113" s="101"/>
      <c r="C113" s="1" t="s">
        <v>113</v>
      </c>
      <c r="D113" s="228"/>
      <c r="E113" s="228"/>
      <c r="F113" s="228"/>
      <c r="G113" s="228"/>
      <c r="H113" s="228"/>
      <c r="I113" s="101"/>
      <c r="J113" s="101" t="s">
        <v>113</v>
      </c>
    </row>
    <row r="114" spans="1:10" ht="14.25" customHeight="1" x14ac:dyDescent="0.35">
      <c r="A114" s="1"/>
      <c r="B114" s="101"/>
      <c r="C114" s="101" t="s">
        <v>113</v>
      </c>
      <c r="D114" s="101" t="s">
        <v>113</v>
      </c>
      <c r="E114" s="101"/>
      <c r="F114" s="101"/>
      <c r="G114" s="101"/>
      <c r="H114" s="101"/>
      <c r="I114" s="101"/>
      <c r="J114" s="101" t="s">
        <v>113</v>
      </c>
    </row>
    <row r="115" spans="1:10" ht="17.149999999999999" customHeight="1" x14ac:dyDescent="0.3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3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5" customHeight="1" x14ac:dyDescent="0.3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3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5" customHeight="1" x14ac:dyDescent="0.3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5" customHeight="1" x14ac:dyDescent="0.3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5" customHeight="1" x14ac:dyDescent="0.3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5" customHeight="1" x14ac:dyDescent="0.3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3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35">
      <c r="A124" s="101"/>
      <c r="B124" s="24"/>
      <c r="C124" s="101" t="s">
        <v>114</v>
      </c>
      <c r="D124" s="101"/>
      <c r="E124" s="101"/>
      <c r="F124" s="101"/>
      <c r="G124" s="101"/>
      <c r="H124" s="101"/>
      <c r="I124" s="101"/>
      <c r="J124" s="157"/>
    </row>
    <row r="125" spans="1:10" ht="17.149999999999999" customHeight="1" x14ac:dyDescent="0.3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3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3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5" customHeight="1" x14ac:dyDescent="0.35">
      <c r="A128" s="1"/>
      <c r="B128" s="254"/>
      <c r="C128" s="16" t="s">
        <v>62</v>
      </c>
      <c r="D128" s="28">
        <f>D129+D130+D131</f>
        <v>75860</v>
      </c>
      <c r="E128" s="28">
        <f>E129+E130+E131</f>
        <v>72627</v>
      </c>
      <c r="F128" s="11">
        <f t="shared" ref="F128:I128" si="13">F129+F130+F131</f>
        <v>760.86338000000001</v>
      </c>
      <c r="G128" s="11">
        <f t="shared" si="13"/>
        <v>60324.388170000006</v>
      </c>
      <c r="H128" s="11">
        <f t="shared" si="13"/>
        <v>12302.611830000002</v>
      </c>
      <c r="I128" s="11">
        <f t="shared" si="13"/>
        <v>69378.175810000001</v>
      </c>
      <c r="J128" s="244"/>
    </row>
    <row r="129" spans="1:10" ht="14.15" customHeight="1" x14ac:dyDescent="0.35">
      <c r="A129" s="1"/>
      <c r="B129" s="254"/>
      <c r="C129" s="44" t="s">
        <v>20</v>
      </c>
      <c r="D129" s="45">
        <v>60688</v>
      </c>
      <c r="E129" s="45">
        <v>57854</v>
      </c>
      <c r="F129" s="23">
        <f>388.91475</f>
        <v>388.91475000000003</v>
      </c>
      <c r="G129" s="23">
        <f>53694.35299</f>
        <v>53694.352989999999</v>
      </c>
      <c r="H129" s="23">
        <f>E129-G129</f>
        <v>4159.6470100000006</v>
      </c>
      <c r="I129" s="23">
        <f>59751.50146</f>
        <v>59751.501459999999</v>
      </c>
      <c r="J129" s="244"/>
    </row>
    <row r="130" spans="1:10" ht="15" customHeight="1" x14ac:dyDescent="0.35">
      <c r="A130" s="1"/>
      <c r="B130" s="254"/>
      <c r="C130" s="44" t="s">
        <v>21</v>
      </c>
      <c r="D130" s="45">
        <v>14672</v>
      </c>
      <c r="E130" s="45">
        <v>14273</v>
      </c>
      <c r="F130" s="23">
        <f>371.94863</f>
        <v>371.94862999999998</v>
      </c>
      <c r="G130" s="23">
        <f>6553.52103</f>
        <v>6553.5210299999999</v>
      </c>
      <c r="H130" s="23">
        <f>E130-G130</f>
        <v>7719.4789700000001</v>
      </c>
      <c r="I130" s="23">
        <f>9471.3883</f>
        <v>9471.3883000000005</v>
      </c>
      <c r="J130" s="244"/>
    </row>
    <row r="131" spans="1:10" ht="13.5" customHeight="1" x14ac:dyDescent="0.35">
      <c r="A131" s="1"/>
      <c r="B131" s="254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76.51415</f>
        <v>76.514150000000001</v>
      </c>
      <c r="H131" s="55">
        <f>E131-G131</f>
        <v>423.48585000000003</v>
      </c>
      <c r="I131" s="23">
        <f>155.28605</f>
        <v>155.28604999999999</v>
      </c>
      <c r="J131" s="244"/>
    </row>
    <row r="132" spans="1:10" ht="14.25" customHeight="1" x14ac:dyDescent="0.35">
      <c r="A132" s="67"/>
      <c r="B132" s="78"/>
      <c r="C132" s="88" t="s">
        <v>64</v>
      </c>
      <c r="D132" s="91">
        <v>51257</v>
      </c>
      <c r="E132" s="91">
        <v>52483</v>
      </c>
      <c r="F132" s="95">
        <f>5.824</f>
        <v>5.8239999999999998</v>
      </c>
      <c r="G132" s="95">
        <f>16677.0138+7183.0032</f>
        <v>23860.017</v>
      </c>
      <c r="H132" s="95">
        <f>E132-G132</f>
        <v>28622.983</v>
      </c>
      <c r="I132" s="95">
        <f>39022.02518</f>
        <v>39022.025179999997</v>
      </c>
      <c r="J132" s="116"/>
    </row>
    <row r="133" spans="1:10" ht="15.75" customHeight="1" x14ac:dyDescent="0.35">
      <c r="A133" s="1"/>
      <c r="B133" s="254"/>
      <c r="C133" s="142" t="s">
        <v>22</v>
      </c>
      <c r="D133" s="143">
        <f>D134+D139+D142</f>
        <v>79534</v>
      </c>
      <c r="E133" s="143">
        <f>E134+E139+E142</f>
        <v>80329</v>
      </c>
      <c r="F133" s="94">
        <f>F134+F139+F142</f>
        <v>2399.0692600000002</v>
      </c>
      <c r="G133" s="94">
        <f t="shared" ref="G133" si="14">G134+G139+G142</f>
        <v>67664.721969999999</v>
      </c>
      <c r="H133" s="94">
        <f>H134+H139+H142</f>
        <v>12664.278030000001</v>
      </c>
      <c r="I133" s="94">
        <f>I134+I139+I142</f>
        <v>81117.91270999999</v>
      </c>
      <c r="J133" s="120"/>
    </row>
    <row r="134" spans="1:10" ht="14.15" customHeight="1" x14ac:dyDescent="0.3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59251</v>
      </c>
      <c r="F134" s="125">
        <f>F135+F136+F137+F138</f>
        <v>1985.66292</v>
      </c>
      <c r="G134" s="125">
        <f>G135+G136+G138+G137</f>
        <v>51546.65423</v>
      </c>
      <c r="H134" s="125">
        <f>H135+H136+H137+H138</f>
        <v>7704.3457699999999</v>
      </c>
      <c r="I134" s="125">
        <f>I135+I136+I137+I138</f>
        <v>64251.918509999996</v>
      </c>
      <c r="J134" s="280"/>
    </row>
    <row r="135" spans="1:10" ht="14.15" customHeight="1" x14ac:dyDescent="0.35">
      <c r="A135" s="197"/>
      <c r="B135" s="126"/>
      <c r="C135" s="62" t="s">
        <v>24</v>
      </c>
      <c r="D135" s="63">
        <v>15960</v>
      </c>
      <c r="E135" s="63">
        <v>17770</v>
      </c>
      <c r="F135" s="127">
        <f>344.02174</f>
        <v>344.02174000000002</v>
      </c>
      <c r="G135" s="127">
        <v>11767.74949</v>
      </c>
      <c r="H135" s="127">
        <f>E135-G135</f>
        <v>6002.2505099999998</v>
      </c>
      <c r="I135" s="127">
        <f>11676.35446</f>
        <v>11676.35446</v>
      </c>
      <c r="J135" s="128"/>
    </row>
    <row r="136" spans="1:10" ht="14.15" customHeight="1" x14ac:dyDescent="0.35">
      <c r="A136" s="197"/>
      <c r="B136" s="182"/>
      <c r="C136" s="62" t="s">
        <v>51</v>
      </c>
      <c r="D136" s="63">
        <v>16404</v>
      </c>
      <c r="E136" s="63">
        <v>14935</v>
      </c>
      <c r="F136" s="127">
        <f>559.19271</f>
        <v>559.19271000000003</v>
      </c>
      <c r="G136" s="127">
        <v>14629.931704999999</v>
      </c>
      <c r="H136" s="127">
        <f>E136-G136</f>
        <v>305.06829500000094</v>
      </c>
      <c r="I136" s="127">
        <f>17524.04035</f>
        <v>17524.040349999999</v>
      </c>
      <c r="J136" s="129"/>
    </row>
    <row r="137" spans="1:10" ht="14.15" customHeight="1" x14ac:dyDescent="0.35">
      <c r="A137" s="197"/>
      <c r="B137" s="182"/>
      <c r="C137" s="62" t="s">
        <v>52</v>
      </c>
      <c r="D137" s="63">
        <v>14385</v>
      </c>
      <c r="E137" s="63">
        <v>13047</v>
      </c>
      <c r="F137" s="127">
        <f>597.29085</f>
        <v>597.29084999999998</v>
      </c>
      <c r="G137" s="127">
        <v>13056.388325</v>
      </c>
      <c r="H137" s="127">
        <f>E137-G137</f>
        <v>-9.3883249999998952</v>
      </c>
      <c r="I137" s="127">
        <f>18943.12886</f>
        <v>18943.128860000001</v>
      </c>
      <c r="J137" s="129"/>
    </row>
    <row r="138" spans="1:10" ht="14.15" customHeight="1" x14ac:dyDescent="0.35">
      <c r="A138" s="197"/>
      <c r="B138" s="182"/>
      <c r="C138" s="62" t="s">
        <v>27</v>
      </c>
      <c r="D138" s="63">
        <v>13308</v>
      </c>
      <c r="E138" s="63">
        <v>13499</v>
      </c>
      <c r="F138" s="127">
        <f>485.15762</f>
        <v>485.15762000000001</v>
      </c>
      <c r="G138" s="127">
        <v>12092.584710000001</v>
      </c>
      <c r="H138" s="127">
        <f>E138-G138</f>
        <v>1406.415289999999</v>
      </c>
      <c r="I138" s="127">
        <f>16108.39484</f>
        <v>16108.394840000001</v>
      </c>
      <c r="J138" s="129"/>
    </row>
    <row r="139" spans="1:10" ht="14.15" customHeight="1" x14ac:dyDescent="0.35">
      <c r="A139" s="66"/>
      <c r="B139" s="53"/>
      <c r="C139" s="56" t="s">
        <v>29</v>
      </c>
      <c r="D139" s="58">
        <f>D140+D141</f>
        <v>8570</v>
      </c>
      <c r="E139" s="58">
        <f>E140+E141</f>
        <v>8925</v>
      </c>
      <c r="F139" s="132">
        <f>SUM(F140:F141)</f>
        <v>294.21265</v>
      </c>
      <c r="G139" s="132">
        <f>SUM(G140:G141)</f>
        <v>9349.5182399999994</v>
      </c>
      <c r="H139" s="132">
        <f>H140+H141</f>
        <v>-424.51823999999965</v>
      </c>
      <c r="I139" s="132">
        <f>SUM(I140:I141)</f>
        <v>8301.1882499999992</v>
      </c>
      <c r="J139" s="133"/>
    </row>
    <row r="140" spans="1:10" ht="14.15" customHeight="1" x14ac:dyDescent="0.35">
      <c r="A140" s="1"/>
      <c r="B140" s="254"/>
      <c r="C140" s="62" t="s">
        <v>66</v>
      </c>
      <c r="D140" s="63">
        <v>8070</v>
      </c>
      <c r="E140" s="63">
        <v>8425</v>
      </c>
      <c r="F140" s="127">
        <f>285.16321</f>
        <v>285.16320999999999</v>
      </c>
      <c r="G140" s="127">
        <f>8880.87091</f>
        <v>8880.8709099999996</v>
      </c>
      <c r="H140" s="127">
        <f t="shared" ref="H140:H148" si="15">E140-G140</f>
        <v>-455.87090999999964</v>
      </c>
      <c r="I140" s="127">
        <f>8020.63339</f>
        <v>8020.63339</v>
      </c>
      <c r="J140" s="120"/>
    </row>
    <row r="141" spans="1:10" ht="15" customHeight="1" x14ac:dyDescent="0.35">
      <c r="A141" s="1"/>
      <c r="B141" s="53"/>
      <c r="C141" s="62" t="s">
        <v>67</v>
      </c>
      <c r="D141" s="63">
        <v>500</v>
      </c>
      <c r="E141" s="63">
        <v>500</v>
      </c>
      <c r="F141" s="127">
        <f>9.04944</f>
        <v>9.0494400000000006</v>
      </c>
      <c r="G141" s="127">
        <f>468.64733</f>
        <v>468.64733000000001</v>
      </c>
      <c r="H141" s="127">
        <f t="shared" si="15"/>
        <v>31.352669999999989</v>
      </c>
      <c r="I141" s="127">
        <f>280.55486</f>
        <v>280.55486000000002</v>
      </c>
      <c r="J141" s="134"/>
    </row>
    <row r="142" spans="1:10" ht="15.75" customHeight="1" x14ac:dyDescent="0.35">
      <c r="A142" s="1"/>
      <c r="B142" s="254"/>
      <c r="C142" s="38" t="s">
        <v>11</v>
      </c>
      <c r="D142" s="61">
        <v>10907</v>
      </c>
      <c r="E142" s="61">
        <v>12153</v>
      </c>
      <c r="F142" s="75">
        <f>119.19369</f>
        <v>119.19369</v>
      </c>
      <c r="G142" s="75">
        <f>6768.5495</f>
        <v>6768.5495000000001</v>
      </c>
      <c r="H142" s="75">
        <f t="shared" si="15"/>
        <v>5384.4504999999999</v>
      </c>
      <c r="I142" s="75">
        <f>8564.80595</f>
        <v>8564.8059499999999</v>
      </c>
      <c r="J142" s="120"/>
    </row>
    <row r="143" spans="1:10" ht="15.75" customHeight="1" x14ac:dyDescent="0.35">
      <c r="A143" s="1"/>
      <c r="B143" s="254"/>
      <c r="C143" s="142" t="s">
        <v>34</v>
      </c>
      <c r="D143" s="143">
        <v>146</v>
      </c>
      <c r="E143" s="143">
        <v>146</v>
      </c>
      <c r="F143" s="139">
        <f>0.0025</f>
        <v>2.5000000000000001E-3</v>
      </c>
      <c r="G143" s="139">
        <f>16.4778</f>
        <v>16.477799999999998</v>
      </c>
      <c r="H143" s="139">
        <f t="shared" si="15"/>
        <v>129.5222</v>
      </c>
      <c r="I143" s="139">
        <f>34.13983</f>
        <v>34.139830000000003</v>
      </c>
      <c r="J143" s="120"/>
    </row>
    <row r="144" spans="1:10" ht="15.75" customHeight="1" x14ac:dyDescent="0.3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35">
      <c r="A145" s="1"/>
      <c r="B145" s="254"/>
      <c r="C145" s="140" t="s">
        <v>69</v>
      </c>
      <c r="D145" s="143">
        <v>2000</v>
      </c>
      <c r="E145" s="143">
        <v>2000</v>
      </c>
      <c r="F145" s="139">
        <f>1.14774</f>
        <v>1.14774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3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35">
      <c r="A147" s="1"/>
      <c r="B147" s="254"/>
      <c r="C147" s="142" t="s">
        <v>70</v>
      </c>
      <c r="D147" s="143">
        <v>276</v>
      </c>
      <c r="E147" s="143">
        <v>276</v>
      </c>
      <c r="F147" s="98">
        <f>2.393</f>
        <v>2.3929999999999998</v>
      </c>
      <c r="G147" s="98">
        <f>79.55141</f>
        <v>79.551410000000004</v>
      </c>
      <c r="H147" s="139">
        <f t="shared" si="15"/>
        <v>196.44859</v>
      </c>
      <c r="I147" s="98">
        <f>35.95901</f>
        <v>35.959009999999999</v>
      </c>
      <c r="J147" s="120"/>
    </row>
    <row r="148" spans="1:10" ht="15" customHeight="1" x14ac:dyDescent="0.35">
      <c r="A148" s="1"/>
      <c r="B148" s="254"/>
      <c r="C148" s="142" t="s">
        <v>39</v>
      </c>
      <c r="D148" s="145"/>
      <c r="E148" s="143"/>
      <c r="F148" s="139">
        <f>0.319</f>
        <v>0.31900000000000001</v>
      </c>
      <c r="G148" s="139">
        <f>292.42224</f>
        <v>292.42223999999999</v>
      </c>
      <c r="H148" s="139">
        <f t="shared" si="15"/>
        <v>-292.42223999999999</v>
      </c>
      <c r="I148" s="139">
        <f>627.66621</f>
        <v>627.66620999999998</v>
      </c>
      <c r="J148" s="120"/>
    </row>
    <row r="149" spans="1:10" ht="0" hidden="1" customHeight="1" x14ac:dyDescent="0.3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3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208111</v>
      </c>
      <c r="F150" s="76">
        <f>F128+F132+F133+F143+F144+F145+F146+F147+F148</f>
        <v>3169.61888</v>
      </c>
      <c r="G150" s="76">
        <f>G128+G132+G133+G143+G144+G145+G146+G147+G148</f>
        <v>154493.61458999998</v>
      </c>
      <c r="H150" s="76">
        <f>H128+H132+H133+H143+H144+H145+H146+H147+H148</f>
        <v>53617.385410000003</v>
      </c>
      <c r="I150" s="76">
        <f>I128+I132+I133+I143+I144+I145+I146+I147+I148</f>
        <v>192478.45974999998</v>
      </c>
      <c r="J150" s="160"/>
    </row>
    <row r="151" spans="1:10" ht="14.25" customHeight="1" x14ac:dyDescent="0.3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35">
      <c r="A152" s="156"/>
      <c r="B152" s="52"/>
      <c r="C152" s="101" t="s">
        <v>131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3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3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3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35">
      <c r="A156" s="156"/>
      <c r="B156" s="52"/>
      <c r="C156" s="77" t="s">
        <v>132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3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3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3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3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3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35">
      <c r="A162" s="1" t="s">
        <v>113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3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35">
      <c r="A164" s="1" t="s">
        <v>113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5" customHeight="1" x14ac:dyDescent="0.35">
      <c r="A165" s="1" t="s">
        <v>113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5" customHeight="1" x14ac:dyDescent="0.3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5" customHeight="1" x14ac:dyDescent="0.3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5" customHeight="1" x14ac:dyDescent="0.3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5" customHeight="1" x14ac:dyDescent="0.3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5" customHeight="1" x14ac:dyDescent="0.3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3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3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3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3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5" customHeight="1" x14ac:dyDescent="0.35">
      <c r="A175" s="1"/>
      <c r="B175" s="254"/>
      <c r="C175" s="141" t="s">
        <v>75</v>
      </c>
      <c r="D175" s="94">
        <v>4223</v>
      </c>
      <c r="E175" s="276">
        <f>17.87076</f>
        <v>17.870760000000001</v>
      </c>
      <c r="F175" s="276">
        <f>1532.83387</f>
        <v>1532.8338699999999</v>
      </c>
      <c r="G175" s="43">
        <f>D175-F175-F176</f>
        <v>1060.2788</v>
      </c>
      <c r="H175" s="276">
        <f>2130.41373</f>
        <v>2130.4137300000002</v>
      </c>
      <c r="I175" s="1"/>
      <c r="J175" s="120"/>
    </row>
    <row r="176" spans="1:10" ht="14.15" customHeight="1" x14ac:dyDescent="0.35">
      <c r="A176" s="1"/>
      <c r="B176" s="254"/>
      <c r="C176" s="137" t="s">
        <v>53</v>
      </c>
      <c r="D176" s="181"/>
      <c r="E176" s="152">
        <f>1.10814</f>
        <v>1.1081399999999999</v>
      </c>
      <c r="F176" s="152">
        <f>1629.88733</f>
        <v>1629.88733</v>
      </c>
      <c r="G176" s="217"/>
      <c r="H176" s="152">
        <f>1971.21526</f>
        <v>1971.2152599999999</v>
      </c>
      <c r="I176" s="1"/>
      <c r="J176" s="120"/>
    </row>
    <row r="177" spans="1:10" ht="15.65" customHeight="1" x14ac:dyDescent="0.35">
      <c r="A177" s="1"/>
      <c r="B177" s="254"/>
      <c r="C177" s="169" t="s">
        <v>76</v>
      </c>
      <c r="D177" s="98">
        <v>200</v>
      </c>
      <c r="E177" s="172">
        <f>0.02244</f>
        <v>2.2440000000000002E-2</v>
      </c>
      <c r="F177" s="172">
        <f>125.70531</f>
        <v>125.70531</v>
      </c>
      <c r="G177" s="172">
        <f>D177-F177</f>
        <v>74.294690000000003</v>
      </c>
      <c r="H177" s="172">
        <f>77.0411</f>
        <v>77.0411</v>
      </c>
      <c r="I177" s="1"/>
      <c r="J177" s="120"/>
    </row>
    <row r="178" spans="1:10" ht="14.15" customHeight="1" x14ac:dyDescent="0.35">
      <c r="A178" s="67"/>
      <c r="B178" s="78"/>
      <c r="C178" s="180" t="s">
        <v>77</v>
      </c>
      <c r="D178" s="181">
        <v>6334</v>
      </c>
      <c r="E178" s="181">
        <f>E179+E180+E181</f>
        <v>3.62582</v>
      </c>
      <c r="F178" s="181">
        <f>F179+F180+F181</f>
        <v>5990.7034400000002</v>
      </c>
      <c r="G178" s="181">
        <f>D178-F178</f>
        <v>343.29655999999977</v>
      </c>
      <c r="H178" s="181">
        <f>H179+H180+H181</f>
        <v>8193.63357</v>
      </c>
      <c r="I178" s="67"/>
      <c r="J178" s="116"/>
    </row>
    <row r="179" spans="1:10" ht="14.15" customHeight="1" x14ac:dyDescent="0.35">
      <c r="A179" s="197"/>
      <c r="B179" s="182"/>
      <c r="C179" s="183" t="s">
        <v>78</v>
      </c>
      <c r="D179" s="127"/>
      <c r="E179" s="127">
        <f>0.07448</f>
        <v>7.4480000000000005E-2</v>
      </c>
      <c r="F179" s="127">
        <f>3092.67218</f>
        <v>3092.67218</v>
      </c>
      <c r="G179" s="127"/>
      <c r="H179" s="127">
        <f>4196.80379</f>
        <v>4196.8037899999999</v>
      </c>
      <c r="I179" s="186"/>
      <c r="J179" s="129"/>
    </row>
    <row r="180" spans="1:10" ht="14.15" customHeight="1" x14ac:dyDescent="0.35">
      <c r="A180" s="197"/>
      <c r="B180" s="182"/>
      <c r="C180" s="183" t="s">
        <v>79</v>
      </c>
      <c r="D180" s="127"/>
      <c r="E180" s="127">
        <f>1.60328</f>
        <v>1.60328</v>
      </c>
      <c r="F180" s="127">
        <f>1832.55103</f>
        <v>1832.5510300000001</v>
      </c>
      <c r="G180" s="127"/>
      <c r="H180" s="127">
        <f>2528.76693</f>
        <v>2528.7669299999998</v>
      </c>
      <c r="I180" s="186"/>
      <c r="J180" s="187"/>
    </row>
    <row r="181" spans="1:10" ht="14.15" customHeight="1" x14ac:dyDescent="0.35">
      <c r="A181" s="197"/>
      <c r="B181" s="182"/>
      <c r="C181" s="188" t="s">
        <v>80</v>
      </c>
      <c r="D181" s="192"/>
      <c r="E181" s="192">
        <f>1.94806</f>
        <v>1.9480599999999999</v>
      </c>
      <c r="F181" s="192">
        <f>1065.48023</f>
        <v>1065.4802299999999</v>
      </c>
      <c r="G181" s="192"/>
      <c r="H181" s="192">
        <f>1468.06285</f>
        <v>1468.06285</v>
      </c>
      <c r="I181" s="186"/>
      <c r="J181" s="187"/>
    </row>
    <row r="182" spans="1:10" ht="14.15" customHeight="1" x14ac:dyDescent="0.3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4"/>
    </row>
    <row r="183" spans="1:10" ht="16.5" customHeight="1" x14ac:dyDescent="0.3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99999999999999" customHeight="1" x14ac:dyDescent="0.3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22.62716</v>
      </c>
      <c r="F184" s="194">
        <f>F175+F176+F177+F178+F182+F183</f>
        <v>9279.1299500000005</v>
      </c>
      <c r="G184" s="194">
        <f>D184-F184</f>
        <v>1543.8700499999995</v>
      </c>
      <c r="H184" s="194">
        <f>H175+H176+H177+H178+H182+H183</f>
        <v>12372.303660000001</v>
      </c>
      <c r="I184" s="163"/>
      <c r="J184" s="160"/>
    </row>
    <row r="185" spans="1:10" ht="42" customHeight="1" x14ac:dyDescent="0.35">
      <c r="A185" s="1"/>
      <c r="B185" s="198"/>
      <c r="C185" s="227" t="s">
        <v>137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35">
      <c r="A186" s="156" t="s">
        <v>113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3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35">
      <c r="A188" s="150" t="s">
        <v>113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5">
      <c r="A190" s="150" t="s">
        <v>113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3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3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3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3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3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3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35">
      <c r="A197" s="1"/>
      <c r="B197" s="254"/>
      <c r="C197" s="101" t="s">
        <v>119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35">
      <c r="A198" s="1"/>
      <c r="B198" s="254"/>
      <c r="C198" s="101" t="s">
        <v>120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35">
      <c r="A199" s="1"/>
      <c r="B199" s="254"/>
      <c r="C199" s="101" t="s">
        <v>123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3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3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3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3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35">
      <c r="A204" s="1"/>
      <c r="B204" s="254"/>
      <c r="C204" s="90" t="s">
        <v>4</v>
      </c>
      <c r="D204" s="124">
        <v>46282</v>
      </c>
      <c r="E204" s="124">
        <f>301.4637</f>
        <v>301.46370000000002</v>
      </c>
      <c r="F204" s="124">
        <f>43846.66095</f>
        <v>43846.660949999998</v>
      </c>
      <c r="G204" s="124">
        <f>D204-F204</f>
        <v>2435.3390500000023</v>
      </c>
      <c r="H204" s="124">
        <f>42078.60029</f>
        <v>42078.600290000002</v>
      </c>
      <c r="I204" s="248"/>
      <c r="J204" s="120"/>
    </row>
    <row r="205" spans="1:10" ht="15" customHeight="1" x14ac:dyDescent="0.35">
      <c r="A205" s="1"/>
      <c r="B205" s="254"/>
      <c r="C205" s="90" t="s">
        <v>67</v>
      </c>
      <c r="D205" s="124">
        <v>100</v>
      </c>
      <c r="E205" s="124">
        <f>0.22554</f>
        <v>0.22553999999999999</v>
      </c>
      <c r="F205" s="124">
        <f>44.47764</f>
        <v>44.477640000000001</v>
      </c>
      <c r="G205" s="124">
        <f>D205-F205</f>
        <v>55.522359999999999</v>
      </c>
      <c r="H205" s="124">
        <f>71.28678</f>
        <v>71.286779999999993</v>
      </c>
      <c r="I205" s="248"/>
      <c r="J205" s="120"/>
    </row>
    <row r="206" spans="1:10" ht="15.75" customHeight="1" x14ac:dyDescent="0.3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35">
      <c r="A207" s="1"/>
      <c r="B207" s="254"/>
      <c r="C207" s="179" t="s">
        <v>87</v>
      </c>
      <c r="D207" s="190">
        <f>SUM(D204:D206)</f>
        <v>46418</v>
      </c>
      <c r="E207" s="190">
        <f>SUM(E204:E206)</f>
        <v>301.68924000000004</v>
      </c>
      <c r="F207" s="190">
        <f>SUM(F204:F206)</f>
        <v>43891.138589999995</v>
      </c>
      <c r="G207" s="190">
        <f>D207-F207</f>
        <v>2526.861410000005</v>
      </c>
      <c r="H207" s="190">
        <f>SUM(H204:H206)</f>
        <v>42149.887070000004</v>
      </c>
      <c r="I207" s="248"/>
      <c r="J207" s="120"/>
    </row>
    <row r="208" spans="1:10" ht="17.149999999999999" customHeight="1" x14ac:dyDescent="0.3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49999999999999" customHeight="1" x14ac:dyDescent="0.35">
      <c r="A242" s="1" t="s">
        <v>113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5">
      <c r="A243" s="150"/>
      <c r="B243" s="1"/>
      <c r="C243" s="215" t="s">
        <v>115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5">
      <c r="A244" s="150" t="s">
        <v>113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3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3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3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3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35">
      <c r="A249" s="1"/>
      <c r="B249" s="254"/>
      <c r="C249" s="90" t="s">
        <v>121</v>
      </c>
      <c r="D249" s="124">
        <v>3987</v>
      </c>
      <c r="E249" s="75">
        <f>E250+E251</f>
        <v>20.752700000000001</v>
      </c>
      <c r="F249" s="75">
        <f>F250+F251</f>
        <v>4345.6183999999994</v>
      </c>
      <c r="G249" s="75">
        <f>D249-F249</f>
        <v>-358.61839999999938</v>
      </c>
      <c r="H249" s="75">
        <f>H250+H251</f>
        <v>4353.91813</v>
      </c>
      <c r="I249" s="248"/>
      <c r="J249" s="120"/>
    </row>
    <row r="250" spans="1:10" ht="15" customHeight="1" x14ac:dyDescent="0.35">
      <c r="A250" s="1"/>
      <c r="B250" s="254"/>
      <c r="C250" s="177" t="s">
        <v>8</v>
      </c>
      <c r="D250" s="124"/>
      <c r="E250" s="75">
        <f>15.0358</f>
        <v>15.0358</v>
      </c>
      <c r="F250" s="75">
        <f>3679.61869</f>
        <v>3679.6186899999998</v>
      </c>
      <c r="G250" s="75"/>
      <c r="H250" s="75">
        <f>3640.83889</f>
        <v>3640.83889</v>
      </c>
      <c r="I250" s="248"/>
      <c r="J250" s="120"/>
    </row>
    <row r="251" spans="1:10" ht="15" customHeight="1" x14ac:dyDescent="0.35">
      <c r="A251" s="1"/>
      <c r="B251" s="254"/>
      <c r="C251" s="177" t="s">
        <v>67</v>
      </c>
      <c r="D251" s="124"/>
      <c r="E251" s="124">
        <f>5.7169</f>
        <v>5.7168999999999999</v>
      </c>
      <c r="F251" s="124">
        <f>665.99971</f>
        <v>665.99971000000005</v>
      </c>
      <c r="G251" s="168"/>
      <c r="H251" s="124">
        <f>713.07924</f>
        <v>713.07924000000003</v>
      </c>
      <c r="I251" s="248"/>
      <c r="J251" s="120"/>
    </row>
    <row r="252" spans="1:10" ht="15" customHeight="1" x14ac:dyDescent="0.35">
      <c r="A252" s="1"/>
      <c r="B252" s="254"/>
      <c r="C252" s="90" t="s">
        <v>122</v>
      </c>
      <c r="D252" s="124">
        <v>4613</v>
      </c>
      <c r="E252" s="75">
        <f>43.35706</f>
        <v>43.357059999999997</v>
      </c>
      <c r="F252" s="75">
        <f>5552.6703</f>
        <v>5552.6702999999998</v>
      </c>
      <c r="G252" s="75">
        <f>D252-F252</f>
        <v>-939.67029999999977</v>
      </c>
      <c r="H252" s="75">
        <f>5690.49343</f>
        <v>5690.4934300000004</v>
      </c>
      <c r="I252" s="248"/>
      <c r="J252" s="120"/>
    </row>
    <row r="253" spans="1:10" ht="16.5" customHeight="1" x14ac:dyDescent="0.35">
      <c r="A253" s="1"/>
      <c r="B253" s="254"/>
      <c r="C253" s="179" t="s">
        <v>87</v>
      </c>
      <c r="D253" s="190">
        <f>D252+D249</f>
        <v>8600</v>
      </c>
      <c r="E253" s="190">
        <f>SUM(E249,E252)</f>
        <v>64.109759999999994</v>
      </c>
      <c r="F253" s="190">
        <f>SUM(F249,F252)</f>
        <v>9898.2886999999992</v>
      </c>
      <c r="G253" s="190">
        <f>D253-F253</f>
        <v>-1298.2886999999992</v>
      </c>
      <c r="H253" s="190">
        <f>SUM(H249,H252)</f>
        <v>10044.41156</v>
      </c>
      <c r="I253" s="248"/>
      <c r="J253" s="120"/>
    </row>
    <row r="254" spans="1:10" ht="17.149999999999999" customHeight="1" x14ac:dyDescent="0.3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49999999999999" customHeight="1" x14ac:dyDescent="0.35">
      <c r="A288" s="1" t="s">
        <v>113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5">
      <c r="A289" s="150"/>
      <c r="B289" s="1"/>
      <c r="C289" s="215" t="s">
        <v>116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5">
      <c r="A290" s="150" t="s">
        <v>113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3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3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3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3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35">
      <c r="A295" s="1"/>
      <c r="B295" s="254"/>
      <c r="C295" s="90" t="s">
        <v>121</v>
      </c>
      <c r="D295" s="124">
        <v>5090</v>
      </c>
      <c r="E295" s="75">
        <f>E296+E297</f>
        <v>16.54495</v>
      </c>
      <c r="F295" s="75">
        <f>F296+F297</f>
        <v>5444.03442</v>
      </c>
      <c r="G295" s="75">
        <f>D295-F295</f>
        <v>-354.03441999999995</v>
      </c>
      <c r="H295" s="75">
        <f>H296+H297</f>
        <v>6114.3358900000003</v>
      </c>
      <c r="I295" s="248"/>
      <c r="J295" s="120"/>
    </row>
    <row r="296" spans="1:10" ht="15" customHeight="1" x14ac:dyDescent="0.35">
      <c r="A296" s="1"/>
      <c r="B296" s="254"/>
      <c r="C296" s="177" t="s">
        <v>8</v>
      </c>
      <c r="D296" s="124"/>
      <c r="E296" s="75">
        <f>10.71515</f>
        <v>10.71515</v>
      </c>
      <c r="F296" s="75">
        <f>4877.99718</f>
        <v>4877.9971800000003</v>
      </c>
      <c r="G296" s="75"/>
      <c r="H296" s="75">
        <f>5586.1654</f>
        <v>5586.1653999999999</v>
      </c>
      <c r="I296" s="248"/>
      <c r="J296" s="120"/>
    </row>
    <row r="297" spans="1:10" ht="15" customHeight="1" x14ac:dyDescent="0.35">
      <c r="A297" s="1"/>
      <c r="B297" s="254"/>
      <c r="C297" s="177" t="s">
        <v>67</v>
      </c>
      <c r="D297" s="124"/>
      <c r="E297" s="124">
        <f>5.8298</f>
        <v>5.8297999999999996</v>
      </c>
      <c r="F297" s="124">
        <f>566.03724</f>
        <v>566.03724</v>
      </c>
      <c r="G297" s="168"/>
      <c r="H297" s="124">
        <f>528.17049</f>
        <v>528.17048999999997</v>
      </c>
      <c r="I297" s="248"/>
      <c r="J297" s="120"/>
    </row>
    <row r="298" spans="1:10" ht="15" customHeight="1" x14ac:dyDescent="0.35">
      <c r="A298" s="1"/>
      <c r="B298" s="254"/>
      <c r="C298" s="90" t="s">
        <v>122</v>
      </c>
      <c r="D298" s="124">
        <v>2981</v>
      </c>
      <c r="E298" s="75">
        <f>96.83402</f>
        <v>96.834019999999995</v>
      </c>
      <c r="F298" s="75">
        <f>3359.47487</f>
        <v>3359.47487</v>
      </c>
      <c r="G298" s="75">
        <f>D298-F298</f>
        <v>-378.47487000000001</v>
      </c>
      <c r="H298" s="75">
        <f>4260.27172</f>
        <v>4260.2717199999997</v>
      </c>
      <c r="I298" s="248"/>
      <c r="J298" s="120"/>
    </row>
    <row r="299" spans="1:10" ht="16.5" customHeight="1" x14ac:dyDescent="0.35">
      <c r="A299" s="1"/>
      <c r="B299" s="254"/>
      <c r="C299" s="179" t="s">
        <v>87</v>
      </c>
      <c r="D299" s="190">
        <f>D298+D295</f>
        <v>8071</v>
      </c>
      <c r="E299" s="190">
        <f>SUM(E295,E298)</f>
        <v>113.37897</v>
      </c>
      <c r="F299" s="190">
        <f>SUM(F295,F298)</f>
        <v>8803.50929</v>
      </c>
      <c r="G299" s="190">
        <f>D299-F299</f>
        <v>-732.50928999999996</v>
      </c>
      <c r="H299" s="190">
        <f>SUM(H295,H298)</f>
        <v>10374.607609999999</v>
      </c>
      <c r="I299" s="248"/>
      <c r="J299" s="120"/>
    </row>
    <row r="300" spans="1:10" ht="17.149999999999999" customHeight="1" x14ac:dyDescent="0.3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35">
      <c r="A334" s="1" t="s">
        <v>113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3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35">
      <c r="A336" s="218" t="s">
        <v>113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5" customHeight="1" x14ac:dyDescent="0.3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5" customHeight="1" x14ac:dyDescent="0.3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5" customHeight="1" x14ac:dyDescent="0.3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5" customHeight="1" x14ac:dyDescent="0.3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5" customHeight="1" x14ac:dyDescent="0.3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35">
      <c r="A342" s="1"/>
      <c r="B342" s="254"/>
      <c r="C342" s="248" t="s">
        <v>124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3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5" customHeight="1" x14ac:dyDescent="0.3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3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3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3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5" customHeight="1" x14ac:dyDescent="0.3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3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5" customHeight="1" x14ac:dyDescent="0.35">
      <c r="A350" s="67"/>
      <c r="B350" s="78"/>
      <c r="C350" s="90" t="s">
        <v>93</v>
      </c>
      <c r="D350" s="124">
        <v>800</v>
      </c>
      <c r="E350" s="124">
        <f>4.34852</f>
        <v>4.3485199999999997</v>
      </c>
      <c r="F350" s="124">
        <f>680.763</f>
        <v>680.76300000000003</v>
      </c>
      <c r="G350" s="124">
        <f>D350-F350</f>
        <v>119.23699999999997</v>
      </c>
      <c r="H350" s="124">
        <f>599.71145</f>
        <v>599.71145000000001</v>
      </c>
      <c r="I350" s="67"/>
      <c r="J350" s="244"/>
    </row>
    <row r="351" spans="1:10" ht="14.15" customHeight="1" x14ac:dyDescent="0.35">
      <c r="A351" s="1"/>
      <c r="B351" s="254"/>
      <c r="C351" s="90" t="s">
        <v>94</v>
      </c>
      <c r="D351" s="246">
        <v>3041</v>
      </c>
      <c r="E351" s="124">
        <f>65.9466</f>
        <v>65.946600000000004</v>
      </c>
      <c r="F351" s="124">
        <f>2606.26971</f>
        <v>2606.26971</v>
      </c>
      <c r="G351" s="124">
        <f>D351-F351</f>
        <v>434.73028999999997</v>
      </c>
      <c r="H351" s="124">
        <f>2798.94659</f>
        <v>2798.94659</v>
      </c>
      <c r="I351" s="178"/>
      <c r="J351" s="116"/>
    </row>
    <row r="352" spans="1:10" ht="16.5" customHeight="1" x14ac:dyDescent="0.3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3.78662</f>
        <v>3.7866200000000001</v>
      </c>
      <c r="G352" s="124">
        <f>D352-F352</f>
        <v>6.2133799999999999</v>
      </c>
      <c r="H352" s="168">
        <f>2.73874</f>
        <v>2.73874</v>
      </c>
      <c r="I352" s="67"/>
      <c r="J352" s="249"/>
    </row>
    <row r="353" spans="1:10" ht="18.75" customHeight="1" x14ac:dyDescent="0.35">
      <c r="A353" s="67"/>
      <c r="B353" s="250"/>
      <c r="C353" s="146" t="s">
        <v>95</v>
      </c>
      <c r="D353" s="222"/>
      <c r="E353" s="168">
        <f>0.00413</f>
        <v>4.13E-3</v>
      </c>
      <c r="F353" s="168">
        <f>2.54029</f>
        <v>2.5402900000000002</v>
      </c>
      <c r="G353" s="124">
        <f>D353-F353</f>
        <v>-2.5402900000000002</v>
      </c>
      <c r="H353" s="168">
        <f>1.81523</f>
        <v>1.8152299999999999</v>
      </c>
      <c r="I353" s="284"/>
      <c r="J353" s="120"/>
    </row>
    <row r="354" spans="1:10" ht="14.15" customHeight="1" x14ac:dyDescent="0.35">
      <c r="A354" s="1"/>
      <c r="B354" s="254"/>
      <c r="C354" s="179" t="s">
        <v>87</v>
      </c>
      <c r="D354" s="6">
        <f>D339</f>
        <v>3851</v>
      </c>
      <c r="E354" s="190">
        <f>SUM(E350:E353)</f>
        <v>70.299250000000001</v>
      </c>
      <c r="F354" s="190">
        <f>SUM(F350:F353)</f>
        <v>3293.3596199999997</v>
      </c>
      <c r="G354" s="190">
        <f>D354-F354</f>
        <v>557.64038000000028</v>
      </c>
      <c r="H354" s="190">
        <f>H350+H351+H352+H353</f>
        <v>3403.2120100000002</v>
      </c>
      <c r="I354" s="1"/>
      <c r="J354" s="120"/>
    </row>
    <row r="355" spans="1:10" ht="14.15" customHeight="1" x14ac:dyDescent="0.3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5" customHeight="1" x14ac:dyDescent="0.3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5" customHeight="1" x14ac:dyDescent="0.35">
      <c r="A357" s="1"/>
      <c r="C357" s="150" t="s">
        <v>113</v>
      </c>
    </row>
    <row r="358" spans="1:10" ht="14.15" customHeight="1" x14ac:dyDescent="0.35">
      <c r="A358" s="1" t="s">
        <v>113</v>
      </c>
    </row>
    <row r="359" spans="1:10" ht="14.15" customHeight="1" x14ac:dyDescent="0.35">
      <c r="A359" s="1" t="s">
        <v>113</v>
      </c>
    </row>
    <row r="360" spans="1:10" ht="14.15" customHeight="1" x14ac:dyDescent="0.35">
      <c r="A360" s="1"/>
      <c r="C360" s="150" t="s">
        <v>113</v>
      </c>
    </row>
    <row r="361" spans="1:10" x14ac:dyDescent="0.35">
      <c r="A361" s="1"/>
      <c r="C361" s="150" t="s">
        <v>113</v>
      </c>
    </row>
    <row r="362" spans="1:10" ht="14.15" customHeight="1" x14ac:dyDescent="0.35">
      <c r="A362" s="1"/>
      <c r="C362" s="150" t="s">
        <v>113</v>
      </c>
    </row>
    <row r="363" spans="1:10" ht="14.15" customHeight="1" x14ac:dyDescent="0.35">
      <c r="A363" s="1"/>
      <c r="C363" s="150" t="s">
        <v>113</v>
      </c>
    </row>
    <row r="364" spans="1:10" ht="30" customHeight="1" x14ac:dyDescent="0.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49999999999999" customHeight="1" x14ac:dyDescent="0.3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3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3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3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3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3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5" customHeight="1" x14ac:dyDescent="0.3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5" customHeight="1" x14ac:dyDescent="0.3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4" customHeight="1" x14ac:dyDescent="0.35">
      <c r="B373" s="72"/>
      <c r="C373" s="211" t="s">
        <v>133</v>
      </c>
      <c r="D373" s="178"/>
      <c r="E373" s="178"/>
      <c r="F373" s="178"/>
      <c r="G373" s="1"/>
      <c r="H373" s="178"/>
      <c r="I373" s="178"/>
      <c r="J373" s="244"/>
    </row>
    <row r="374" spans="1:10" ht="13.4" customHeight="1" x14ac:dyDescent="0.35">
      <c r="B374" s="72"/>
      <c r="C374" s="212" t="s">
        <v>134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3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3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3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3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35">
      <c r="B379" s="72"/>
      <c r="C379" s="223" t="s">
        <v>16</v>
      </c>
      <c r="D379" s="232" t="s">
        <v>17</v>
      </c>
      <c r="E379" s="68" t="s">
        <v>140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5" customHeight="1" x14ac:dyDescent="0.3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18.165900000000001</v>
      </c>
      <c r="G380" s="253">
        <f t="shared" si="17"/>
        <v>20221.055700000001</v>
      </c>
      <c r="H380" s="253">
        <f>H384+H383+H382+H381</f>
        <v>2747.9442999999992</v>
      </c>
      <c r="I380" s="253">
        <f t="shared" si="17"/>
        <v>17299.988799999999</v>
      </c>
      <c r="J380" s="130"/>
    </row>
    <row r="381" spans="1:10" ht="14.15" customHeight="1" x14ac:dyDescent="0.35">
      <c r="A381" s="218"/>
      <c r="B381" s="72"/>
      <c r="C381" s="255" t="s">
        <v>103</v>
      </c>
      <c r="D381" s="256">
        <v>12051</v>
      </c>
      <c r="E381" s="256">
        <v>13190</v>
      </c>
      <c r="F381" s="257">
        <f>5.9319</f>
        <v>5.9318999999999997</v>
      </c>
      <c r="G381" s="257">
        <f>13105.02438</f>
        <v>13105.024380000001</v>
      </c>
      <c r="H381" s="257">
        <f t="shared" ref="H381:H385" si="18">E381-G381</f>
        <v>84.975619999999253</v>
      </c>
      <c r="I381" s="257">
        <f>10173.10933</f>
        <v>10173.109329999999</v>
      </c>
      <c r="J381" s="130"/>
    </row>
    <row r="382" spans="1:10" ht="14.15" customHeight="1" x14ac:dyDescent="0.35">
      <c r="A382" s="218"/>
      <c r="B382" s="72"/>
      <c r="C382" s="260" t="s">
        <v>21</v>
      </c>
      <c r="D382" s="256">
        <v>3136</v>
      </c>
      <c r="E382" s="256">
        <v>3433</v>
      </c>
      <c r="F382" s="257">
        <f>0</f>
        <v>0</v>
      </c>
      <c r="G382" s="257">
        <f>2382.55392</f>
        <v>2382.5539199999998</v>
      </c>
      <c r="H382" s="257">
        <f t="shared" si="18"/>
        <v>1050.4460800000002</v>
      </c>
      <c r="I382" s="257">
        <f>1811.41785</f>
        <v>1811.41785</v>
      </c>
      <c r="J382" s="130"/>
    </row>
    <row r="383" spans="1:10" ht="14.15" customHeight="1" x14ac:dyDescent="0.35">
      <c r="A383" s="218"/>
      <c r="B383" s="72"/>
      <c r="C383" s="260" t="s">
        <v>100</v>
      </c>
      <c r="D383" s="256">
        <v>1454</v>
      </c>
      <c r="E383" s="256">
        <v>1483</v>
      </c>
      <c r="F383" s="257">
        <f>10.4604</f>
        <v>10.4604</v>
      </c>
      <c r="G383" s="257">
        <f>2184.93669</f>
        <v>2184.93669</v>
      </c>
      <c r="H383" s="257">
        <f t="shared" si="18"/>
        <v>-701.93669</v>
      </c>
      <c r="I383" s="257">
        <f>2122.52052</f>
        <v>2122.52052</v>
      </c>
      <c r="J383" s="130"/>
    </row>
    <row r="384" spans="1:10" ht="14.15" customHeight="1" x14ac:dyDescent="0.35">
      <c r="A384" s="218"/>
      <c r="B384" s="72"/>
      <c r="C384" s="262" t="s">
        <v>141</v>
      </c>
      <c r="D384" s="263">
        <v>4867</v>
      </c>
      <c r="E384" s="263">
        <v>4863</v>
      </c>
      <c r="F384" s="257">
        <f>1.7736</f>
        <v>1.7736000000000001</v>
      </c>
      <c r="G384" s="257">
        <f>2548.54071</f>
        <v>2548.5407100000002</v>
      </c>
      <c r="H384" s="257">
        <f t="shared" si="18"/>
        <v>2314.4592899999998</v>
      </c>
      <c r="I384" s="257">
        <f>3192.9411</f>
        <v>3192.9411</v>
      </c>
      <c r="J384" s="130"/>
    </row>
    <row r="385" spans="1:10" ht="14.15" customHeight="1" x14ac:dyDescent="0.35">
      <c r="A385" s="218"/>
      <c r="B385" s="72"/>
      <c r="C385" s="265" t="s">
        <v>59</v>
      </c>
      <c r="D385" s="266">
        <v>5500</v>
      </c>
      <c r="E385" s="266">
        <v>5500</v>
      </c>
      <c r="F385" s="268">
        <f>0</f>
        <v>0</v>
      </c>
      <c r="G385" s="268">
        <f>2272.83678</f>
        <v>2272.8367800000001</v>
      </c>
      <c r="H385" s="268">
        <f t="shared" si="18"/>
        <v>3227.1632199999999</v>
      </c>
      <c r="I385" s="268">
        <f>5113.83428</f>
        <v>5113.83428</v>
      </c>
      <c r="J385" s="130"/>
    </row>
    <row r="386" spans="1:10" ht="14.15" customHeight="1" x14ac:dyDescent="0.3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88.96669</v>
      </c>
      <c r="G386" s="269">
        <f>G388+G387</f>
        <v>4229.0789800000002</v>
      </c>
      <c r="H386" s="269">
        <f>E386-G386</f>
        <v>3770.9210199999998</v>
      </c>
      <c r="I386" s="269">
        <f>I388+I387</f>
        <v>4777.8465400000005</v>
      </c>
      <c r="J386" s="130"/>
    </row>
    <row r="387" spans="1:10" ht="14.15" customHeight="1" x14ac:dyDescent="0.35">
      <c r="A387" s="218"/>
      <c r="B387" s="72"/>
      <c r="C387" s="260" t="s">
        <v>53</v>
      </c>
      <c r="D387" s="271"/>
      <c r="E387" s="256"/>
      <c r="F387" s="257">
        <f>0</f>
        <v>0</v>
      </c>
      <c r="G387" s="257">
        <f>1065.53427</f>
        <v>1065.5342700000001</v>
      </c>
      <c r="H387" s="257"/>
      <c r="I387" s="257">
        <f>863.37623</f>
        <v>863.37622999999996</v>
      </c>
      <c r="J387" s="130"/>
    </row>
    <row r="388" spans="1:10" ht="14.15" customHeight="1" x14ac:dyDescent="0.35">
      <c r="A388" s="218"/>
      <c r="B388" s="72"/>
      <c r="C388" s="273" t="s">
        <v>104</v>
      </c>
      <c r="D388" s="274"/>
      <c r="E388" s="277"/>
      <c r="F388" s="278">
        <f>88.96669</f>
        <v>88.96669</v>
      </c>
      <c r="G388" s="278">
        <f>3163.54471</f>
        <v>3163.5447100000001</v>
      </c>
      <c r="H388" s="278"/>
      <c r="I388" s="278">
        <f>3914.47031</f>
        <v>3914.4703100000002</v>
      </c>
      <c r="J388" s="130"/>
    </row>
    <row r="389" spans="1:10" ht="14.15" customHeight="1" x14ac:dyDescent="0.3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0.1565</f>
        <v>0.1565</v>
      </c>
      <c r="H389" s="268">
        <f>E389-G389</f>
        <v>12.843500000000001</v>
      </c>
      <c r="I389" s="268">
        <f>0.7485</f>
        <v>0.74850000000000005</v>
      </c>
      <c r="J389" s="130"/>
    </row>
    <row r="390" spans="1:10" ht="14.15" customHeight="1" x14ac:dyDescent="0.35">
      <c r="A390" s="218"/>
      <c r="B390" s="72"/>
      <c r="C390" s="279" t="s">
        <v>105</v>
      </c>
      <c r="D390" s="282"/>
      <c r="E390" s="283"/>
      <c r="F390" s="268">
        <f>0.17688</f>
        <v>0.17688000000000001</v>
      </c>
      <c r="G390" s="268">
        <f>133.94485</f>
        <v>133.94485</v>
      </c>
      <c r="H390" s="268">
        <f>E390-G390</f>
        <v>-133.94485</v>
      </c>
      <c r="I390" s="268">
        <f>134.41609</f>
        <v>134.41609</v>
      </c>
      <c r="J390" s="130"/>
    </row>
    <row r="391" spans="1:10" ht="19.5" customHeight="1" x14ac:dyDescent="0.3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107.30946999999999</v>
      </c>
      <c r="G391" s="287">
        <f t="shared" si="19"/>
        <v>26857.072810000001</v>
      </c>
      <c r="H391" s="287">
        <f>H380+H385+H386+H389+H390</f>
        <v>9624.9271900000003</v>
      </c>
      <c r="I391" s="287">
        <f t="shared" si="19"/>
        <v>27326.834210000001</v>
      </c>
      <c r="J391" s="130"/>
    </row>
    <row r="392" spans="1:10" ht="14.15" customHeight="1" x14ac:dyDescent="0.35">
      <c r="A392" s="218"/>
      <c r="B392" s="72"/>
      <c r="C392" s="161" t="s">
        <v>106</v>
      </c>
      <c r="D392" s="289"/>
      <c r="E392" s="289"/>
      <c r="F392" s="4"/>
      <c r="G392" s="4"/>
      <c r="H392" s="5"/>
      <c r="I392" s="5"/>
      <c r="J392" s="130"/>
    </row>
    <row r="393" spans="1:10" ht="14.15" customHeight="1" x14ac:dyDescent="0.35">
      <c r="A393" s="218"/>
      <c r="B393" s="72"/>
      <c r="C393" s="101" t="s">
        <v>142</v>
      </c>
      <c r="D393" s="289"/>
      <c r="E393" s="289"/>
      <c r="F393" s="4"/>
      <c r="G393" s="4"/>
      <c r="H393" s="7"/>
      <c r="I393" s="5"/>
      <c r="J393" s="130"/>
    </row>
    <row r="394" spans="1:10" ht="14.15" customHeight="1" x14ac:dyDescent="0.35">
      <c r="A394" s="218"/>
      <c r="B394" s="72"/>
      <c r="C394" s="101"/>
      <c r="D394" s="289"/>
      <c r="E394" s="289"/>
      <c r="F394" s="4"/>
      <c r="G394" s="4"/>
      <c r="H394" s="5"/>
      <c r="I394" s="7"/>
      <c r="J394" s="130"/>
    </row>
    <row r="395" spans="1:10" ht="15.75" customHeight="1" x14ac:dyDescent="0.3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35">
      <c r="A396" s="218"/>
      <c r="B396" s="150" t="s">
        <v>113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35">
      <c r="A397" s="218"/>
      <c r="B397" s="150" t="s">
        <v>113</v>
      </c>
      <c r="C397" s="14"/>
      <c r="D397" s="1"/>
      <c r="E397" s="1"/>
      <c r="F397" s="1"/>
      <c r="G397" s="1"/>
      <c r="H397" s="1"/>
      <c r="I397" s="1"/>
      <c r="J397" s="150"/>
    </row>
    <row r="398" spans="1:10" ht="14.15" customHeight="1" x14ac:dyDescent="0.35">
      <c r="A398" s="218"/>
      <c r="C398" s="150" t="s">
        <v>113</v>
      </c>
      <c r="D398" s="156"/>
    </row>
    <row r="399" spans="1:10" ht="14.15" customHeight="1" x14ac:dyDescent="0.3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5" customHeight="1" x14ac:dyDescent="0.35">
      <c r="A400" s="218"/>
      <c r="B400" s="72"/>
      <c r="C400" s="219" t="s">
        <v>107</v>
      </c>
      <c r="D400" s="156"/>
      <c r="E400" s="150"/>
      <c r="G400" s="150"/>
      <c r="H400" s="150"/>
      <c r="I400" s="150"/>
      <c r="J400" s="130"/>
    </row>
    <row r="401" spans="1:10" ht="14.15" customHeight="1" x14ac:dyDescent="0.3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5" customHeight="1" x14ac:dyDescent="0.3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5" customHeight="1" x14ac:dyDescent="0.3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5" customHeight="1" x14ac:dyDescent="0.3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5" customHeight="1" x14ac:dyDescent="0.3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5" customHeight="1" x14ac:dyDescent="0.3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5" customHeight="1" x14ac:dyDescent="0.35">
      <c r="A407" s="218"/>
      <c r="B407" s="72"/>
      <c r="C407" s="301" t="s">
        <v>138</v>
      </c>
      <c r="D407" s="301"/>
      <c r="E407" s="301"/>
      <c r="F407" s="301"/>
      <c r="G407" s="214"/>
      <c r="H407" s="214"/>
      <c r="I407" s="150"/>
      <c r="J407" s="130"/>
    </row>
    <row r="408" spans="1:10" ht="14.15" customHeight="1" x14ac:dyDescent="0.3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5" customHeight="1" x14ac:dyDescent="0.3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5" customHeight="1" x14ac:dyDescent="0.3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3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35">
      <c r="A412" s="218"/>
      <c r="B412" s="198"/>
      <c r="C412" s="20" t="s">
        <v>108</v>
      </c>
      <c r="D412" s="22" t="s">
        <v>109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5" customHeight="1" x14ac:dyDescent="0.35">
      <c r="A413" s="218"/>
      <c r="B413" s="72"/>
      <c r="C413" s="265" t="s">
        <v>110</v>
      </c>
      <c r="D413" s="204">
        <v>894</v>
      </c>
      <c r="E413" s="26">
        <f>SUM(E414:E415)</f>
        <v>0</v>
      </c>
      <c r="F413" s="26">
        <f>SUM(F414:F415)</f>
        <v>1023.75488</v>
      </c>
      <c r="G413" s="85">
        <f>D413-F413</f>
        <v>-129.75487999999996</v>
      </c>
      <c r="H413" s="26">
        <f>SUM(H414:H415)</f>
        <v>988.40122999999994</v>
      </c>
      <c r="I413" s="27"/>
      <c r="J413" s="130"/>
    </row>
    <row r="414" spans="1:10" ht="14.15" customHeight="1" x14ac:dyDescent="0.35">
      <c r="A414" s="218"/>
      <c r="B414" s="72"/>
      <c r="C414" s="29" t="s">
        <v>8</v>
      </c>
      <c r="E414" s="205">
        <f>0</f>
        <v>0</v>
      </c>
      <c r="F414" s="205">
        <f>779.52608</f>
        <v>779.52607999999998</v>
      </c>
      <c r="G414" s="206"/>
      <c r="H414" s="205">
        <f>753.71223</f>
        <v>753.71222999999998</v>
      </c>
      <c r="I414" s="150"/>
      <c r="J414" s="130"/>
    </row>
    <row r="415" spans="1:10" ht="14.15" customHeight="1" x14ac:dyDescent="0.35">
      <c r="A415" s="218"/>
      <c r="B415" s="72"/>
      <c r="C415" s="29" t="s">
        <v>11</v>
      </c>
      <c r="D415" s="207"/>
      <c r="E415" s="208">
        <f>0</f>
        <v>0</v>
      </c>
      <c r="F415" s="208">
        <f>244.2288</f>
        <v>244.22880000000001</v>
      </c>
      <c r="G415" s="209"/>
      <c r="H415" s="208">
        <f>234.689</f>
        <v>234.68899999999999</v>
      </c>
      <c r="I415" s="150"/>
      <c r="J415" s="130"/>
    </row>
    <row r="416" spans="1:10" ht="14.15" customHeight="1" x14ac:dyDescent="0.35">
      <c r="A416" s="218"/>
      <c r="B416" s="72"/>
      <c r="C416" s="265" t="s">
        <v>111</v>
      </c>
      <c r="D416" s="10">
        <v>894</v>
      </c>
      <c r="E416" s="26">
        <f>SUM(E417:E418)</f>
        <v>41.5565</v>
      </c>
      <c r="F416" s="26">
        <f>SUM(F417:F418)</f>
        <v>246.92869999999999</v>
      </c>
      <c r="G416" s="85">
        <f>D416-F416</f>
        <v>647.07130000000006</v>
      </c>
      <c r="H416" s="26">
        <f>SUM(H417:H418)</f>
        <v>265.00599999999997</v>
      </c>
      <c r="I416" s="27"/>
      <c r="J416" s="130"/>
    </row>
    <row r="417" spans="1:10" ht="14.15" customHeight="1" x14ac:dyDescent="0.35">
      <c r="A417" s="218"/>
      <c r="B417" s="72"/>
      <c r="C417" s="29" t="s">
        <v>8</v>
      </c>
      <c r="D417" s="42"/>
      <c r="E417" s="30">
        <f>36.718</f>
        <v>36.718000000000004</v>
      </c>
      <c r="F417" s="30">
        <f>178.584</f>
        <v>178.584</v>
      </c>
      <c r="G417" s="97"/>
      <c r="H417" s="30">
        <f>194.0845</f>
        <v>194.08449999999999</v>
      </c>
      <c r="I417" s="150"/>
      <c r="J417" s="130"/>
    </row>
    <row r="418" spans="1:10" ht="14.15" customHeight="1" x14ac:dyDescent="0.35">
      <c r="A418" s="218"/>
      <c r="B418" s="72"/>
      <c r="C418" s="29" t="s">
        <v>11</v>
      </c>
      <c r="D418" s="221"/>
      <c r="E418" s="30">
        <f>4.8385</f>
        <v>4.8384999999999998</v>
      </c>
      <c r="F418" s="30">
        <f>68.3447</f>
        <v>68.344700000000003</v>
      </c>
      <c r="G418" s="108"/>
      <c r="H418" s="30">
        <f>70.9215</f>
        <v>70.921499999999995</v>
      </c>
      <c r="I418" s="150"/>
      <c r="J418" s="130"/>
    </row>
    <row r="419" spans="1:10" ht="14.15" customHeight="1" x14ac:dyDescent="0.35">
      <c r="A419" s="218"/>
      <c r="B419" s="72"/>
      <c r="C419" s="265" t="s">
        <v>112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5" customHeight="1" x14ac:dyDescent="0.3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5" customHeight="1" x14ac:dyDescent="0.3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5" customHeight="1" x14ac:dyDescent="0.3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5" customHeight="1" x14ac:dyDescent="0.3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41.5565</v>
      </c>
      <c r="F423" s="40">
        <f>F413+F416+F419+F422</f>
        <v>1270.6835799999999</v>
      </c>
      <c r="G423" s="41">
        <f>D423-F423</f>
        <v>1410.3164200000001</v>
      </c>
      <c r="H423" s="40">
        <f>H413+H416+H419+H422</f>
        <v>1253.4072299999998</v>
      </c>
      <c r="I423" s="27"/>
      <c r="J423" s="130"/>
    </row>
    <row r="424" spans="1:10" ht="42" customHeight="1" x14ac:dyDescent="0.35">
      <c r="A424" s="218"/>
      <c r="B424" s="72"/>
      <c r="C424" s="292" t="s">
        <v>117</v>
      </c>
      <c r="D424" s="292"/>
      <c r="E424" s="292"/>
      <c r="F424" s="292"/>
      <c r="G424" s="292"/>
      <c r="H424" s="292"/>
      <c r="I424" s="292"/>
      <c r="J424" s="293"/>
    </row>
    <row r="425" spans="1:10" ht="14.15" customHeight="1" x14ac:dyDescent="0.3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0" hidden="1" customHeight="1" x14ac:dyDescent="0.35"/>
    <row r="65609" ht="0" hidden="1" customHeight="1" x14ac:dyDescent="0.35"/>
    <row r="65610" ht="16.5" customHeight="1" x14ac:dyDescent="0.35"/>
  </sheetData>
  <mergeCells count="15">
    <mergeCell ref="C17:H17"/>
    <mergeCell ref="B2:J2"/>
    <mergeCell ref="B9:J9"/>
    <mergeCell ref="C11:D11"/>
    <mergeCell ref="E11:F11"/>
    <mergeCell ref="G11:H11"/>
    <mergeCell ref="C424:J424"/>
    <mergeCell ref="C52:H52"/>
    <mergeCell ref="E55:E59"/>
    <mergeCell ref="H55:H59"/>
    <mergeCell ref="C81:D81"/>
    <mergeCell ref="E81:F81"/>
    <mergeCell ref="G81:H81"/>
    <mergeCell ref="C407:F407"/>
    <mergeCell ref="D55:D59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48&amp;R02.12.2024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2024-12-02T09:34:05Z</dcterms:modified>
</cp:coreProperties>
</file>