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AB3EEE68-422C-4EBE-82C8-138C3BE2DC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423" i="1"/>
  <c r="H422" i="1"/>
  <c r="F422" i="1"/>
  <c r="G422" i="1" s="1"/>
  <c r="E422" i="1"/>
  <c r="H421" i="1"/>
  <c r="F421" i="1"/>
  <c r="E421" i="1"/>
  <c r="H420" i="1"/>
  <c r="F420" i="1"/>
  <c r="F419" i="1" s="1"/>
  <c r="G419" i="1" s="1"/>
  <c r="E420" i="1"/>
  <c r="H419" i="1"/>
  <c r="E419" i="1"/>
  <c r="H418" i="1"/>
  <c r="F418" i="1"/>
  <c r="E418" i="1"/>
  <c r="E416" i="1" s="1"/>
  <c r="H417" i="1"/>
  <c r="H416" i="1" s="1"/>
  <c r="F417" i="1"/>
  <c r="F416" i="1" s="1"/>
  <c r="G416" i="1" s="1"/>
  <c r="E417" i="1"/>
  <c r="H415" i="1"/>
  <c r="H413" i="1" s="1"/>
  <c r="F415" i="1"/>
  <c r="E415" i="1"/>
  <c r="H414" i="1"/>
  <c r="F414" i="1"/>
  <c r="E414" i="1"/>
  <c r="E413" i="1" s="1"/>
  <c r="E423" i="1" s="1"/>
  <c r="F413" i="1"/>
  <c r="F423" i="1" s="1"/>
  <c r="I390" i="1"/>
  <c r="H390" i="1"/>
  <c r="G390" i="1"/>
  <c r="F390" i="1"/>
  <c r="I389" i="1"/>
  <c r="G389" i="1"/>
  <c r="H389" i="1" s="1"/>
  <c r="F389" i="1"/>
  <c r="I388" i="1"/>
  <c r="G388" i="1"/>
  <c r="G386" i="1" s="1"/>
  <c r="H386" i="1" s="1"/>
  <c r="F388" i="1"/>
  <c r="I387" i="1"/>
  <c r="I386" i="1" s="1"/>
  <c r="I391" i="1" s="1"/>
  <c r="G387" i="1"/>
  <c r="F387" i="1"/>
  <c r="F386" i="1"/>
  <c r="I385" i="1"/>
  <c r="H385" i="1"/>
  <c r="G385" i="1"/>
  <c r="F385" i="1"/>
  <c r="I384" i="1"/>
  <c r="G384" i="1"/>
  <c r="H384" i="1" s="1"/>
  <c r="H380" i="1" s="1"/>
  <c r="F384" i="1"/>
  <c r="I383" i="1"/>
  <c r="H383" i="1"/>
  <c r="G383" i="1"/>
  <c r="F383" i="1"/>
  <c r="I382" i="1"/>
  <c r="G382" i="1"/>
  <c r="H382" i="1" s="1"/>
  <c r="F382" i="1"/>
  <c r="I381" i="1"/>
  <c r="H381" i="1"/>
  <c r="G381" i="1"/>
  <c r="F381" i="1"/>
  <c r="I380" i="1"/>
  <c r="G380" i="1"/>
  <c r="G391" i="1" s="1"/>
  <c r="F380" i="1"/>
  <c r="F391" i="1" s="1"/>
  <c r="D380" i="1"/>
  <c r="D391" i="1" s="1"/>
  <c r="H372" i="1"/>
  <c r="F372" i="1"/>
  <c r="D354" i="1"/>
  <c r="G354" i="1" s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H354" i="1" s="1"/>
  <c r="F350" i="1"/>
  <c r="F354" i="1" s="1"/>
  <c r="E350" i="1"/>
  <c r="E354" i="1" s="1"/>
  <c r="D343" i="1"/>
  <c r="H299" i="1"/>
  <c r="D299" i="1"/>
  <c r="H298" i="1"/>
  <c r="G298" i="1"/>
  <c r="F298" i="1"/>
  <c r="E298" i="1"/>
  <c r="H297" i="1"/>
  <c r="F297" i="1"/>
  <c r="E297" i="1"/>
  <c r="H296" i="1"/>
  <c r="F296" i="1"/>
  <c r="F295" i="1" s="1"/>
  <c r="E296" i="1"/>
  <c r="E295" i="1" s="1"/>
  <c r="E299" i="1" s="1"/>
  <c r="H295" i="1"/>
  <c r="D253" i="1"/>
  <c r="H252" i="1"/>
  <c r="H253" i="1" s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07" i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F177" i="1"/>
  <c r="G177" i="1" s="1"/>
  <c r="E177" i="1"/>
  <c r="H176" i="1"/>
  <c r="F176" i="1"/>
  <c r="E176" i="1"/>
  <c r="H175" i="1"/>
  <c r="F175" i="1"/>
  <c r="E175" i="1"/>
  <c r="E184" i="1" s="1"/>
  <c r="D167" i="1"/>
  <c r="D169" i="1" s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G140" i="1"/>
  <c r="H140" i="1" s="1"/>
  <c r="H139" i="1" s="1"/>
  <c r="F140" i="1"/>
  <c r="I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I134" i="1"/>
  <c r="I133" i="1" s="1"/>
  <c r="G134" i="1"/>
  <c r="F134" i="1"/>
  <c r="F133" i="1" s="1"/>
  <c r="E134" i="1"/>
  <c r="D134" i="1"/>
  <c r="D133" i="1" s="1"/>
  <c r="D150" i="1" s="1"/>
  <c r="E133" i="1"/>
  <c r="I132" i="1"/>
  <c r="F132" i="1"/>
  <c r="I131" i="1"/>
  <c r="G131" i="1"/>
  <c r="H131" i="1" s="1"/>
  <c r="F131" i="1"/>
  <c r="I130" i="1"/>
  <c r="H130" i="1"/>
  <c r="G130" i="1"/>
  <c r="F130" i="1"/>
  <c r="I129" i="1"/>
  <c r="I128" i="1" s="1"/>
  <c r="G129" i="1"/>
  <c r="G128" i="1" s="1"/>
  <c r="F129" i="1"/>
  <c r="F128" i="1" s="1"/>
  <c r="E128" i="1"/>
  <c r="E150" i="1" s="1"/>
  <c r="D128" i="1"/>
  <c r="C126" i="1"/>
  <c r="D107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G97" i="1"/>
  <c r="H97" i="1" s="1"/>
  <c r="H96" i="1" s="1"/>
  <c r="F97" i="1"/>
  <c r="F96" i="1" s="1"/>
  <c r="F95" i="1" s="1"/>
  <c r="E96" i="1"/>
  <c r="E95" i="1" s="1"/>
  <c r="E107" i="1" s="1"/>
  <c r="D96" i="1"/>
  <c r="D95" i="1"/>
  <c r="I94" i="1"/>
  <c r="G94" i="1"/>
  <c r="H94" i="1" s="1"/>
  <c r="F94" i="1"/>
  <c r="F92" i="1" s="1"/>
  <c r="I93" i="1"/>
  <c r="G93" i="1"/>
  <c r="G92" i="1" s="1"/>
  <c r="F93" i="1"/>
  <c r="I92" i="1"/>
  <c r="E92" i="1"/>
  <c r="D92" i="1"/>
  <c r="C89" i="1"/>
  <c r="H85" i="1"/>
  <c r="F85" i="1"/>
  <c r="D85" i="1"/>
  <c r="H61" i="1"/>
  <c r="H60" i="1"/>
  <c r="I35" i="1" s="1"/>
  <c r="I34" i="1" s="1"/>
  <c r="I26" i="1" s="1"/>
  <c r="I55" i="1"/>
  <c r="I32" i="1" s="1"/>
  <c r="I27" i="1" s="1"/>
  <c r="G55" i="1"/>
  <c r="G32" i="1" s="1"/>
  <c r="H32" i="1" s="1"/>
  <c r="F55" i="1"/>
  <c r="F32" i="1" s="1"/>
  <c r="F27" i="1" s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G35" i="1"/>
  <c r="G34" i="1" s="1"/>
  <c r="F35" i="1"/>
  <c r="F34" i="1" s="1"/>
  <c r="E35" i="1"/>
  <c r="H35" i="1" s="1"/>
  <c r="D34" i="1"/>
  <c r="I33" i="1"/>
  <c r="H33" i="1"/>
  <c r="G33" i="1"/>
  <c r="F33" i="1"/>
  <c r="I31" i="1"/>
  <c r="H31" i="1"/>
  <c r="G31" i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D27" i="1"/>
  <c r="E26" i="1"/>
  <c r="D26" i="1"/>
  <c r="I25" i="1"/>
  <c r="G25" i="1"/>
  <c r="G23" i="1" s="1"/>
  <c r="F25" i="1"/>
  <c r="I24" i="1"/>
  <c r="I23" i="1" s="1"/>
  <c r="H24" i="1"/>
  <c r="G24" i="1"/>
  <c r="F24" i="1"/>
  <c r="F23" i="1" s="1"/>
  <c r="E23" i="1"/>
  <c r="E44" i="1" s="1"/>
  <c r="D23" i="1"/>
  <c r="D44" i="1" s="1"/>
  <c r="H16" i="1"/>
  <c r="F16" i="1"/>
  <c r="D16" i="1"/>
  <c r="H134" i="1" l="1"/>
  <c r="H133" i="1" s="1"/>
  <c r="I44" i="1"/>
  <c r="H27" i="1"/>
  <c r="I150" i="1"/>
  <c r="G107" i="1"/>
  <c r="I107" i="1"/>
  <c r="F184" i="1"/>
  <c r="G184" i="1" s="1"/>
  <c r="G249" i="1"/>
  <c r="F253" i="1"/>
  <c r="G253" i="1" s="1"/>
  <c r="H391" i="1"/>
  <c r="F26" i="1"/>
  <c r="F44" i="1" s="1"/>
  <c r="H184" i="1"/>
  <c r="H423" i="1"/>
  <c r="H34" i="1"/>
  <c r="H26" i="1" s="1"/>
  <c r="H95" i="1"/>
  <c r="F299" i="1"/>
  <c r="G295" i="1"/>
  <c r="F107" i="1"/>
  <c r="F150" i="1"/>
  <c r="G299" i="1"/>
  <c r="G423" i="1"/>
  <c r="G27" i="1"/>
  <c r="G26" i="1" s="1"/>
  <c r="G44" i="1" s="1"/>
  <c r="G139" i="1"/>
  <c r="G133" i="1" s="1"/>
  <c r="G150" i="1" s="1"/>
  <c r="G96" i="1"/>
  <c r="G95" i="1" s="1"/>
  <c r="G413" i="1"/>
  <c r="H55" i="1"/>
  <c r="H93" i="1"/>
  <c r="H92" i="1" s="1"/>
  <c r="H107" i="1" s="1"/>
  <c r="H129" i="1"/>
  <c r="H128" i="1" s="1"/>
  <c r="G350" i="1"/>
  <c r="H25" i="1"/>
  <c r="H23" i="1" s="1"/>
  <c r="G175" i="1"/>
  <c r="H150" i="1" l="1"/>
  <c r="H44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<sst xmlns="http://schemas.openxmlformats.org/spreadsheetml/2006/main" count="359" uniqueCount="151">
  <si>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</si>
  <si>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</si>
  <si>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</si>
  <si>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</si>
  <si>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</si>
  <si>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</si>
  <si>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</si>
  <si>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</si>
  <si>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</si>
  <si>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</si>
  <si>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</si>
  <si>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</si>
  <si>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</si>
  <si>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</si>
  <si>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</si>
  <si>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</si>
  <si>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</si>
  <si>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</si>
  <si>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</si>
  <si>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</si>
  <si>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</si>
  <si>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</si>
  <si>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</si>
  <si>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</si>
  <si>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</si>
  <si>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</si>
  <si>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</si>
  <si>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</si>
  <si>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</si>
  <si>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</si>
  <si>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</si>
  <si>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</si>
  <si>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</si>
  <si>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</si>
  <si>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</si>
  <si>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</si>
  <si>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</si>
  <si>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</si>
  <si>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</si>
  <si>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</si>
  <si>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</si>
  <si>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</si>
  <si>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</si>
  <si>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</si>
  <si>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</si>
  <si>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</si>
  <si>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</si>
  <si>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</si>
  <si>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</si>
  <si>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</si>
  <si>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</si>
  <si>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</si>
  <si>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</si>
  <si>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</si>
  <si>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</si>
  <si>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</si>
  <si>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</si>
  <si>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</si>
  <si>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</si>
  <si>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</si>
  <si>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</si>
  <si>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</si>
  <si>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</si>
  <si>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</si>
  <si>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</si>
  <si>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</si>
  <si>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</si>
  <si>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</si>
  <si>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</si>
  <si>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</si>
  <si>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</si>
  <si>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</si>
  <si>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</si>
  <si>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</si>
  <si>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</si>
  <si>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</si>
  <si>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</si>
  <si>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</si>
  <si>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</si>
  <si>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</si>
  <si>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</si>
  <si>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</si>
  <si>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</si>
  <si>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</si>
  <si>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</si>
  <si>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</si>
  <si>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</si>
  <si>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</si>
  <si>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</si>
  <si>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</si>
  <si>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</si>
  <si>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</si>
  <si>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</si>
  <si>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</si>
  <si>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</si>
  <si>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</si>
  <si>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</si>
  <si>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</si>
  <si>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</si>
  <si>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</si>
  <si>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</si>
  <si>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</si>
  <si>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</si>
  <si>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</si>
  <si>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</si>
  <si>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</si>
  <si>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</si>
  <si>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</si>
  <si>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</si>
  <si>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</si>
  <si>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</si>
  <si>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</si>
  <si>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</si>
  <si>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</si>
  <si>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</si>
  <si>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</si>
  <si>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</si>
  <si>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</si>
  <si>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</si>
  <si>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</si>
  <si>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</si>
  <si>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</si>
  <si>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</si>
  <si>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</si>
  <si>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</si>
  <si>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</si>
  <si>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</si>
  <si>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</si>
  <si>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</si>
  <si>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</si>
  <si>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</si>
  <si>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</si>
  <si>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</si>
  <si>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</si>
  <si>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</si>
  <si>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</si>
  <si>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</si>
  <si>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</si>
  <si>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</si>
  <si>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</si>
  <si>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</si>
  <si>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</si>
  <si>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</si>
  <si>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62 tonn, men det legges til grunn at hele avsetningen tas</t>
  </si>
  <si>
    <t>4 Registrert rekreasjonsfiske utgjør 520 tonn, men det legges til grunn at hele avsetningen tas</t>
  </si>
  <si>
    <t>3 Registrert rekreasjonsfiske utgjør 897 tonn, men det legges til grunn at hele avsetningen tas</t>
  </si>
  <si>
    <t>FANGST UKE 48</t>
  </si>
  <si>
    <t>FANGST T.O.M UKE 48</t>
  </si>
  <si>
    <t>RESTKVOTER UKE 48</t>
  </si>
  <si>
    <t>FANGST T.O.M UKE 48 2023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</si>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</sst>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C127" zoomScale="85" zoomScaleNormal="85" zoomScaleSheetLayoutView="100" zoomScalePageLayoutView="85" workbookViewId="0">
      <selection activeCell="F137" sqref="F137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118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302" t="s">
        <v>135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876.91</v>
      </c>
      <c r="G23" s="28">
        <f t="shared" si="0"/>
        <v>50691.633740000005</v>
      </c>
      <c r="H23" s="11">
        <f t="shared" si="0"/>
        <v>10120.366259999999</v>
      </c>
      <c r="I23" s="11">
        <f t="shared" si="0"/>
        <v>75438.983139999997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875.938</f>
        <v>875.93799999999999</v>
      </c>
      <c r="G24" s="23">
        <f>50130.50381</f>
        <v>50130.503810000002</v>
      </c>
      <c r="H24" s="23">
        <f>E24-G24</f>
        <v>9911.496189999998</v>
      </c>
      <c r="I24" s="23">
        <f>74793.13029</f>
        <v>74793.130290000001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0.972</f>
        <v>0.97199999999999998</v>
      </c>
      <c r="G25" s="23">
        <f>561.12993</f>
        <v>561.12992999999994</v>
      </c>
      <c r="H25" s="23">
        <f>E25-G25</f>
        <v>208.87007000000006</v>
      </c>
      <c r="I25" s="23">
        <f>645.85285</f>
        <v>645.85284999999999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2205.4437199999998</v>
      </c>
      <c r="G26" s="11">
        <f t="shared" si="1"/>
        <v>132927.02416</v>
      </c>
      <c r="H26" s="11">
        <f t="shared" si="1"/>
        <v>11946.975839999997</v>
      </c>
      <c r="I26" s="11">
        <f t="shared" si="1"/>
        <v>199948.19845999999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985.47266000000002</v>
      </c>
      <c r="G27" s="132">
        <f t="shared" ref="G27:I27" si="2">G28+G29+G30+G31+G32</f>
        <v>105953.77768</v>
      </c>
      <c r="H27" s="132">
        <f t="shared" si="2"/>
        <v>7024.2223199999971</v>
      </c>
      <c r="I27" s="132">
        <f t="shared" si="2"/>
        <v>153676.37117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211.54363</f>
        <v>211.54363000000001</v>
      </c>
      <c r="G28" s="127">
        <f>27869.13506 - G56</f>
        <v>26228.135060000001</v>
      </c>
      <c r="H28" s="127">
        <f t="shared" ref="H28:H40" si="3">E28-G28</f>
        <v>2401.8649399999995</v>
      </c>
      <c r="I28" s="127">
        <f>38908.97642 - H56</f>
        <v>38908.976419999999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218.71581</f>
        <v>218.71581</v>
      </c>
      <c r="G29" s="127">
        <f>30421.97259 - G57</f>
        <v>28418.972590000001</v>
      </c>
      <c r="H29" s="127">
        <f t="shared" si="3"/>
        <v>1246.0274099999988</v>
      </c>
      <c r="I29" s="127">
        <f>42181.72156 - H57</f>
        <v>42181.721559999998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33.26848</f>
        <v>33.268479999999997</v>
      </c>
      <c r="G30" s="127">
        <f>27355.54892 - G58</f>
        <v>25947.548920000001</v>
      </c>
      <c r="H30" s="127">
        <f t="shared" si="3"/>
        <v>1296.4510799999989</v>
      </c>
      <c r="I30" s="127">
        <f>38300.56513 - H58</f>
        <v>38300.565130000003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85.94474</f>
        <v>85.944739999999996</v>
      </c>
      <c r="G31" s="127">
        <f>20307.12111 - G59</f>
        <v>19079.12111</v>
      </c>
      <c r="H31" s="127">
        <f t="shared" si="3"/>
        <v>259.87888999999996</v>
      </c>
      <c r="I31" s="127">
        <f>25634.10806 - H59</f>
        <v>25634.108059999999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436</v>
      </c>
      <c r="G32" s="127">
        <f>G55</f>
        <v>6280</v>
      </c>
      <c r="H32" s="127">
        <f t="shared" si="3"/>
        <v>1820</v>
      </c>
      <c r="I32" s="127">
        <f>I55</f>
        <v>8651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1063.64088</f>
        <v>1063.6408799999999</v>
      </c>
      <c r="G33" s="132">
        <f>14355.86435</f>
        <v>14355.86435</v>
      </c>
      <c r="H33" s="132">
        <f t="shared" si="3"/>
        <v>2503.1356500000002</v>
      </c>
      <c r="I33" s="132">
        <f>20030.9146</f>
        <v>20030.9146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156.33017999999998</v>
      </c>
      <c r="G34" s="132">
        <f>G35+G36</f>
        <v>12617.38213</v>
      </c>
      <c r="H34" s="132">
        <f t="shared" si="3"/>
        <v>2419.61787</v>
      </c>
      <c r="I34" s="132">
        <f>I35+I36</f>
        <v>26240.912690000001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89.33018</f>
        <v>89.330179999999999</v>
      </c>
      <c r="G35" s="132">
        <f>15531.38213 - G60 - G61</f>
        <v>11718.38213</v>
      </c>
      <c r="H35" s="127">
        <f t="shared" si="3"/>
        <v>2358.61787</v>
      </c>
      <c r="I35" s="127">
        <f>25401.91269 - H60 - H61</f>
        <v>25254.912690000001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67</v>
      </c>
      <c r="G36" s="71">
        <f>G60</f>
        <v>899</v>
      </c>
      <c r="H36" s="71">
        <f t="shared" si="3"/>
        <v>61</v>
      </c>
      <c r="I36" s="71">
        <f>I60</f>
        <v>986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10.6539</f>
        <v>10.6539</v>
      </c>
      <c r="G38" s="98">
        <f>523.21696</f>
        <v>523.21695999999997</v>
      </c>
      <c r="H38" s="98">
        <f t="shared" si="3"/>
        <v>331.78304000000003</v>
      </c>
      <c r="I38" s="98">
        <f>597.982</f>
        <v>597.98199999999997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7</v>
      </c>
      <c r="G39" s="98">
        <f>G61</f>
        <v>2914</v>
      </c>
      <c r="H39" s="98">
        <f t="shared" si="3"/>
        <v>86</v>
      </c>
      <c r="I39" s="98">
        <f>I61</f>
        <v>4495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2.74184</f>
        <v>2.7418399999999998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4.83839</f>
        <v>4.8383900000000004</v>
      </c>
      <c r="G41" s="98">
        <f>358.38745</f>
        <v>358.38745</v>
      </c>
      <c r="H41" s="98">
        <f>E41-G41</f>
        <v>41.612549999999999</v>
      </c>
      <c r="I41" s="98">
        <f>362.54</f>
        <v>362.54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0.195</f>
        <v>0.19500000000000001</v>
      </c>
      <c r="G43" s="139">
        <f>143.26076</f>
        <v>143.26076</v>
      </c>
      <c r="H43" s="139">
        <f t="shared" ref="H43" si="4">E43-G43</f>
        <v>-143.26076</v>
      </c>
      <c r="I43" s="139">
        <f>205.55677</f>
        <v>205.55677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3107.7828499999996</v>
      </c>
      <c r="G44" s="76">
        <f t="shared" si="5"/>
        <v>194905.88827</v>
      </c>
      <c r="H44" s="76">
        <f t="shared" si="5"/>
        <v>24135.111729999993</v>
      </c>
      <c r="I44" s="76">
        <f t="shared" si="5"/>
        <v>288795.05197000003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295">
        <v>7872</v>
      </c>
      <c r="E55" s="295">
        <v>8100</v>
      </c>
      <c r="F55" s="11">
        <f>F59+F58+F57+F56</f>
        <v>436</v>
      </c>
      <c r="G55" s="11">
        <f>G59+G58+G57+G56</f>
        <v>6280</v>
      </c>
      <c r="H55" s="295">
        <f>E55-G55</f>
        <v>1820</v>
      </c>
      <c r="I55" s="11">
        <f>I59+I58+I57+I56</f>
        <v>8651</v>
      </c>
      <c r="J55" s="120"/>
    </row>
    <row r="56" spans="1:10" ht="14.15" customHeight="1" x14ac:dyDescent="0.35">
      <c r="A56" s="101"/>
      <c r="B56" s="24"/>
      <c r="C56" s="62" t="s">
        <v>24</v>
      </c>
      <c r="D56" s="296"/>
      <c r="E56" s="296"/>
      <c r="F56" s="127">
        <v>173</v>
      </c>
      <c r="G56" s="127">
        <v>1641</v>
      </c>
      <c r="H56" s="296"/>
      <c r="I56" s="127">
        <v>1654</v>
      </c>
      <c r="J56" s="120"/>
    </row>
    <row r="57" spans="1:10" ht="14.15" customHeight="1" x14ac:dyDescent="0.35">
      <c r="A57" s="101"/>
      <c r="B57" s="24"/>
      <c r="C57" s="62" t="s">
        <v>25</v>
      </c>
      <c r="D57" s="296"/>
      <c r="E57" s="296"/>
      <c r="F57" s="127">
        <v>160</v>
      </c>
      <c r="G57" s="127">
        <v>2003</v>
      </c>
      <c r="H57" s="296"/>
      <c r="I57" s="127">
        <v>2938</v>
      </c>
      <c r="J57" s="244"/>
    </row>
    <row r="58" spans="1:10" ht="14.15" customHeight="1" x14ac:dyDescent="0.35">
      <c r="A58" s="101"/>
      <c r="B58" s="24"/>
      <c r="C58" s="62" t="s">
        <v>26</v>
      </c>
      <c r="D58" s="296"/>
      <c r="E58" s="296"/>
      <c r="F58" s="127">
        <v>29</v>
      </c>
      <c r="G58" s="127">
        <v>1408</v>
      </c>
      <c r="H58" s="296"/>
      <c r="I58" s="127">
        <v>2706</v>
      </c>
      <c r="J58" s="120"/>
    </row>
    <row r="59" spans="1:10" ht="14.15" customHeight="1" x14ac:dyDescent="0.35">
      <c r="A59" s="101"/>
      <c r="B59" s="24"/>
      <c r="C59" s="87" t="s">
        <v>27</v>
      </c>
      <c r="D59" s="297"/>
      <c r="E59" s="297"/>
      <c r="F59" s="192">
        <v>74</v>
      </c>
      <c r="G59" s="192">
        <v>1228</v>
      </c>
      <c r="H59" s="297"/>
      <c r="I59" s="192">
        <v>1353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67</v>
      </c>
      <c r="G60" s="95">
        <v>899</v>
      </c>
      <c r="H60" s="95">
        <f>E60-G60</f>
        <v>61</v>
      </c>
      <c r="I60" s="95">
        <v>986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7</v>
      </c>
      <c r="G61" s="139">
        <v>2914</v>
      </c>
      <c r="H61" s="139">
        <f>E61-G61</f>
        <v>86</v>
      </c>
      <c r="I61" s="139">
        <v>4495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41.1432</v>
      </c>
      <c r="G92" s="11">
        <f t="shared" si="6"/>
        <v>24884.64489</v>
      </c>
      <c r="H92" s="11">
        <f t="shared" si="6"/>
        <v>1076.3551099999997</v>
      </c>
      <c r="I92" s="11">
        <f t="shared" si="6"/>
        <v>44381.197359999998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39.7152</f>
        <v>39.715200000000003</v>
      </c>
      <c r="G93" s="23">
        <f>24081.24754</f>
        <v>24081.24754</v>
      </c>
      <c r="H93" s="23">
        <f>E93-G93</f>
        <v>1054.7524599999997</v>
      </c>
      <c r="I93" s="23">
        <f>43733.02837</f>
        <v>43733.02837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1.428</f>
        <v>1.4279999999999999</v>
      </c>
      <c r="G94" s="50">
        <f>803.39735</f>
        <v>803.39734999999996</v>
      </c>
      <c r="H94" s="50">
        <f>E94-G94</f>
        <v>21.60265000000004</v>
      </c>
      <c r="I94" s="50">
        <f>648.16899</f>
        <v>648.16899000000001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591.81811999999991</v>
      </c>
      <c r="G95" s="11">
        <f t="shared" si="7"/>
        <v>43462.053869999996</v>
      </c>
      <c r="H95" s="11">
        <f t="shared" si="7"/>
        <v>5531.9461300000003</v>
      </c>
      <c r="I95" s="11">
        <f t="shared" si="7"/>
        <v>40518.34345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205.94892000000002</v>
      </c>
      <c r="G96" s="132">
        <f t="shared" si="8"/>
        <v>34068.10901</v>
      </c>
      <c r="H96" s="132">
        <f t="shared" si="8"/>
        <v>3425.8909900000008</v>
      </c>
      <c r="I96" s="132">
        <f t="shared" si="8"/>
        <v>26197.113599999997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99.86313</f>
        <v>99.863129999999998</v>
      </c>
      <c r="G97" s="127">
        <f>6067.56556</f>
        <v>6067.56556</v>
      </c>
      <c r="H97" s="127">
        <f t="shared" ref="H97:H104" si="9">E97-G97</f>
        <v>3947.43444</v>
      </c>
      <c r="I97" s="127">
        <f>5043.04508</f>
        <v>5043.0450799999999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46.10904</f>
        <v>46.10904</v>
      </c>
      <c r="G98" s="127">
        <f>10768.81619</f>
        <v>10768.81619</v>
      </c>
      <c r="H98" s="127">
        <f t="shared" si="9"/>
        <v>-154.81618999999955</v>
      </c>
      <c r="I98" s="127">
        <f>8594.08916</f>
        <v>8594.0891599999995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44.63157</f>
        <v>44.631570000000004</v>
      </c>
      <c r="G99" s="127">
        <f>10151.58549</f>
        <v>10151.585489999999</v>
      </c>
      <c r="H99" s="127">
        <f t="shared" si="9"/>
        <v>-39.585489999999481</v>
      </c>
      <c r="I99" s="127">
        <f>7186.54455</f>
        <v>7186.5445499999996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15.34518</f>
        <v>15.345179999999999</v>
      </c>
      <c r="G100" s="127">
        <f>7080.14177</f>
        <v>7080.1417700000002</v>
      </c>
      <c r="H100" s="127">
        <f t="shared" si="9"/>
        <v>-327.14177000000018</v>
      </c>
      <c r="I100" s="127">
        <f>5373.43481</f>
        <v>5373.4348099999997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328.75521</f>
        <v>328.75520999999998</v>
      </c>
      <c r="G101" s="132">
        <f>6560.15336</f>
        <v>6560.1533600000002</v>
      </c>
      <c r="H101" s="132">
        <f t="shared" si="9"/>
        <v>1035.8466399999998</v>
      </c>
      <c r="I101" s="132">
        <f>11805.73118</f>
        <v>11805.731180000001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57.11399</f>
        <v>57.113990000000001</v>
      </c>
      <c r="G102" s="75">
        <f>2833.7915</f>
        <v>2833.7914999999998</v>
      </c>
      <c r="H102" s="75">
        <f t="shared" si="9"/>
        <v>1070.2085000000002</v>
      </c>
      <c r="I102" s="75">
        <f>2515.49867</f>
        <v>2515.4986699999999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0.0811</f>
        <v>8.1100000000000005E-2</v>
      </c>
      <c r="G103" s="98">
        <f>36.63444</f>
        <v>36.634439999999998</v>
      </c>
      <c r="H103" s="98">
        <f t="shared" si="9"/>
        <v>282.36556000000002</v>
      </c>
      <c r="I103" s="98">
        <f>16.57705</f>
        <v>16.57705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0.21463</f>
        <v>0.21462999999999999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1.58566</f>
        <v>1.5856600000000001</v>
      </c>
      <c r="G105" s="98">
        <f>55.98072</f>
        <v>55.980719999999998</v>
      </c>
      <c r="H105" s="139">
        <f>E105-G105</f>
        <v>-5.980719999999998</v>
      </c>
      <c r="I105" s="98">
        <f>16.50396</f>
        <v>16.503959999999999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0</f>
        <v>0</v>
      </c>
      <c r="G106" s="139">
        <f>52.57492</f>
        <v>52.574919999999999</v>
      </c>
      <c r="H106" s="139">
        <f t="shared" ref="H106" si="10">E106-G106</f>
        <v>-52.574919999999999</v>
      </c>
      <c r="I106" s="139">
        <f>100.66606</f>
        <v>100.66606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634.8427099999999</v>
      </c>
      <c r="G107" s="76">
        <f t="shared" si="12"/>
        <v>68791.88884</v>
      </c>
      <c r="H107" s="76">
        <f t="shared" si="12"/>
        <v>6832.1111600000004</v>
      </c>
      <c r="I107" s="76">
        <f t="shared" si="12"/>
        <v>85333.287880000018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72627</v>
      </c>
      <c r="F128" s="11">
        <f t="shared" ref="F128:I128" si="13">F129+F130+F131</f>
        <v>760.86338000000001</v>
      </c>
      <c r="G128" s="11">
        <f t="shared" si="13"/>
        <v>60324.388170000006</v>
      </c>
      <c r="H128" s="11">
        <f t="shared" si="13"/>
        <v>12302.611830000002</v>
      </c>
      <c r="I128" s="11">
        <f t="shared" si="13"/>
        <v>69378.175810000001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57854</v>
      </c>
      <c r="F129" s="23">
        <f>388.91475</f>
        <v>388.91475000000003</v>
      </c>
      <c r="G129" s="23">
        <f>53694.35299</f>
        <v>53694.352989999999</v>
      </c>
      <c r="H129" s="23">
        <f>E129-G129</f>
        <v>4159.6470100000006</v>
      </c>
      <c r="I129" s="23">
        <f>59751.50146</f>
        <v>59751.501459999999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14273</v>
      </c>
      <c r="F130" s="23">
        <f>371.94863</f>
        <v>371.94862999999998</v>
      </c>
      <c r="G130" s="23">
        <f>6553.52103</f>
        <v>6553.5210299999999</v>
      </c>
      <c r="H130" s="23">
        <f>E130-G130</f>
        <v>7719.4789700000001</v>
      </c>
      <c r="I130" s="23">
        <f>9471.3883</f>
        <v>9471.3883000000005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76.51415</f>
        <v>76.514150000000001</v>
      </c>
      <c r="H131" s="55">
        <f>E131-G131</f>
        <v>423.48585000000003</v>
      </c>
      <c r="I131" s="23">
        <f>155.28605</f>
        <v>155.28604999999999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52483</v>
      </c>
      <c r="F132" s="95">
        <f>5.824</f>
        <v>5.8239999999999998</v>
      </c>
      <c r="G132" s="95">
        <f>16677.0138+7183.0032</f>
        <v>23860.017</v>
      </c>
      <c r="H132" s="95">
        <f>E132-G132</f>
        <v>28622.983</v>
      </c>
      <c r="I132" s="95">
        <f>39022.02518</f>
        <v>39022.025179999997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80329</v>
      </c>
      <c r="F133" s="94">
        <f>F134+F139+F142</f>
        <v>2399.0692600000002</v>
      </c>
      <c r="G133" s="94">
        <f t="shared" ref="G133" si="14">G134+G139+G142</f>
        <v>67664.721969999999</v>
      </c>
      <c r="H133" s="94">
        <f>H134+H139+H142</f>
        <v>12664.278030000001</v>
      </c>
      <c r="I133" s="94">
        <f>I134+I139+I142</f>
        <v>81117.91270999999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59251</v>
      </c>
      <c r="F134" s="125">
        <f>F135+F136+F137+F138</f>
        <v>1985.66292</v>
      </c>
      <c r="G134" s="125">
        <f>G135+G136+G138+G137</f>
        <v>51546.65423</v>
      </c>
      <c r="H134" s="125">
        <f>H135+H136+H137+H138</f>
        <v>7704.3457699999999</v>
      </c>
      <c r="I134" s="125">
        <f>I135+I136+I137+I138</f>
        <v>64251.918509999996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17770</v>
      </c>
      <c r="F135" s="127">
        <f>344.02174</f>
        <v>344.02174000000002</v>
      </c>
      <c r="G135" s="127">
        <v>11767.74949</v>
      </c>
      <c r="H135" s="127">
        <f>E135-G135</f>
        <v>6002.2505099999998</v>
      </c>
      <c r="I135" s="127">
        <f>11676.35446</f>
        <v>11676.35446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14935</v>
      </c>
      <c r="F136" s="127">
        <f>559.19271</f>
        <v>559.19271000000003</v>
      </c>
      <c r="G136" s="127">
        <v>14629.931704999999</v>
      </c>
      <c r="H136" s="127">
        <f>E136-G136</f>
        <v>305.06829500000094</v>
      </c>
      <c r="I136" s="127">
        <f>17524.04035</f>
        <v>17524.040349999999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13047</v>
      </c>
      <c r="F137" s="127">
        <f>597.29085</f>
        <v>597.29084999999998</v>
      </c>
      <c r="G137" s="127">
        <v>13056.388325</v>
      </c>
      <c r="H137" s="127">
        <f>E137-G137</f>
        <v>-9.3883249999998952</v>
      </c>
      <c r="I137" s="127">
        <f>18943.12886</f>
        <v>18943.128860000001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13499</v>
      </c>
      <c r="F138" s="127">
        <f>485.15762</f>
        <v>485.15762000000001</v>
      </c>
      <c r="G138" s="127">
        <v>12092.584710000001</v>
      </c>
      <c r="H138" s="127">
        <f>E138-G138</f>
        <v>1406.415289999999</v>
      </c>
      <c r="I138" s="127">
        <f>16108.39484</f>
        <v>16108.394840000001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8925</v>
      </c>
      <c r="F139" s="132">
        <f>SUM(F140:F141)</f>
        <v>294.21265</v>
      </c>
      <c r="G139" s="132">
        <f>SUM(G140:G141)</f>
        <v>9349.5182399999994</v>
      </c>
      <c r="H139" s="132">
        <f>H140+H141</f>
        <v>-424.51823999999965</v>
      </c>
      <c r="I139" s="132">
        <f>SUM(I140:I141)</f>
        <v>8301.1882499999992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8425</v>
      </c>
      <c r="F140" s="127">
        <f>285.16321</f>
        <v>285.16320999999999</v>
      </c>
      <c r="G140" s="127">
        <f>8880.87091</f>
        <v>8880.8709099999996</v>
      </c>
      <c r="H140" s="127">
        <f t="shared" ref="H140:H148" si="15">E140-G140</f>
        <v>-455.87090999999964</v>
      </c>
      <c r="I140" s="127">
        <f>8020.63339</f>
        <v>8020.63339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9.04944</f>
        <v>9.0494400000000006</v>
      </c>
      <c r="G141" s="127">
        <f>468.64733</f>
        <v>468.64733000000001</v>
      </c>
      <c r="H141" s="127">
        <f t="shared" si="15"/>
        <v>31.352669999999989</v>
      </c>
      <c r="I141" s="127">
        <f>280.55486</f>
        <v>280.55486000000002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12153</v>
      </c>
      <c r="F142" s="75">
        <f>119.19369</f>
        <v>119.19369</v>
      </c>
      <c r="G142" s="75">
        <f>6768.5495</f>
        <v>6768.5495000000001</v>
      </c>
      <c r="H142" s="75">
        <f t="shared" si="15"/>
        <v>5384.4504999999999</v>
      </c>
      <c r="I142" s="75">
        <f>8564.80595</f>
        <v>8564.8059499999999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0.0025</f>
        <v>2.5000000000000001E-3</v>
      </c>
      <c r="G143" s="139">
        <f>16.4778</f>
        <v>16.477799999999998</v>
      </c>
      <c r="H143" s="139">
        <f t="shared" si="15"/>
        <v>129.5222</v>
      </c>
      <c r="I143" s="139">
        <f>34.13983</f>
        <v>34.139830000000003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1.14774</f>
        <v>1.14774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2.393</f>
        <v>2.3929999999999998</v>
      </c>
      <c r="G147" s="98">
        <f>79.55141</f>
        <v>79.551410000000004</v>
      </c>
      <c r="H147" s="139">
        <f t="shared" si="15"/>
        <v>196.44859</v>
      </c>
      <c r="I147" s="98">
        <f>35.95901</f>
        <v>35.959009999999999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0.319</f>
        <v>0.31900000000000001</v>
      </c>
      <c r="G148" s="139">
        <f>292.42224</f>
        <v>292.42223999999999</v>
      </c>
      <c r="H148" s="139">
        <f t="shared" si="15"/>
        <v>-292.42223999999999</v>
      </c>
      <c r="I148" s="139">
        <f>627.66621</f>
        <v>627.66620999999998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208111</v>
      </c>
      <c r="F150" s="76">
        <f>F128+F132+F133+F143+F144+F145+F146+F147+F148</f>
        <v>3169.61888</v>
      </c>
      <c r="G150" s="76">
        <f>G128+G132+G133+G143+G144+G145+G146+G147+G148</f>
        <v>154493.61458999998</v>
      </c>
      <c r="H150" s="76">
        <f>H128+H132+H133+H143+H144+H145+H146+H147+H148</f>
        <v>53617.385410000003</v>
      </c>
      <c r="I150" s="76">
        <f>I128+I132+I133+I143+I144+I145+I146+I147+I148</f>
        <v>192478.45974999998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17.87076</f>
        <v>17.870760000000001</v>
      </c>
      <c r="F175" s="276">
        <f>1532.83387</f>
        <v>1532.8338699999999</v>
      </c>
      <c r="G175" s="43">
        <f>D175-F175-F176</f>
        <v>1060.2788</v>
      </c>
      <c r="H175" s="276">
        <f>2130.41373</f>
        <v>2130.4137300000002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1.10814</f>
        <v>1.1081399999999999</v>
      </c>
      <c r="F176" s="152">
        <f>1629.88733</f>
        <v>1629.88733</v>
      </c>
      <c r="G176" s="217"/>
      <c r="H176" s="152">
        <f>1971.21526</f>
        <v>1971.2152599999999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0.02244</f>
        <v>2.2440000000000002E-2</v>
      </c>
      <c r="F177" s="172">
        <f>125.70531</f>
        <v>125.70531</v>
      </c>
      <c r="G177" s="172">
        <f>D177-F177</f>
        <v>74.294690000000003</v>
      </c>
      <c r="H177" s="172">
        <f>77.0411</f>
        <v>77.0411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3.62582</v>
      </c>
      <c r="F178" s="181">
        <f>F179+F180+F181</f>
        <v>5990.7034400000002</v>
      </c>
      <c r="G178" s="181">
        <f>D178-F178</f>
        <v>343.29655999999977</v>
      </c>
      <c r="H178" s="181">
        <f>H179+H180+H181</f>
        <v>8193.63357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0.07448</f>
        <v>7.4480000000000005E-2</v>
      </c>
      <c r="F179" s="127">
        <f>3092.67218</f>
        <v>3092.67218</v>
      </c>
      <c r="G179" s="127"/>
      <c r="H179" s="127">
        <f>4196.80379</f>
        <v>4196.8037899999999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1.60328</f>
        <v>1.60328</v>
      </c>
      <c r="F180" s="127">
        <f>1832.55103</f>
        <v>1832.5510300000001</v>
      </c>
      <c r="G180" s="127"/>
      <c r="H180" s="127">
        <f>2528.76693</f>
        <v>2528.7669299999998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1.94806</f>
        <v>1.9480599999999999</v>
      </c>
      <c r="F181" s="192">
        <f>1065.48023</f>
        <v>1065.4802299999999</v>
      </c>
      <c r="G181" s="192"/>
      <c r="H181" s="192">
        <f>1468.06285</f>
        <v>1468.06285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22.62716</v>
      </c>
      <c r="F184" s="194">
        <f>F175+F176+F177+F178+F182+F183</f>
        <v>9279.1299500000005</v>
      </c>
      <c r="G184" s="194">
        <f>D184-F184</f>
        <v>1543.8700499999995</v>
      </c>
      <c r="H184" s="194">
        <f>H175+H176+H177+H178+H182+H183</f>
        <v>12372.303660000001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301.4637</f>
        <v>301.46370000000002</v>
      </c>
      <c r="F204" s="124">
        <f>43846.66095</f>
        <v>43846.660949999998</v>
      </c>
      <c r="G204" s="124">
        <f>D204-F204</f>
        <v>2435.3390500000023</v>
      </c>
      <c r="H204" s="124">
        <f>42078.60029</f>
        <v>42078.600290000002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0.22554</f>
        <v>0.22553999999999999</v>
      </c>
      <c r="F205" s="124">
        <f>44.47764</f>
        <v>44.477640000000001</v>
      </c>
      <c r="G205" s="124">
        <f>D205-F205</f>
        <v>55.522359999999999</v>
      </c>
      <c r="H205" s="124">
        <f>71.28678</f>
        <v>71.286779999999993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301.68924000000004</v>
      </c>
      <c r="F207" s="190">
        <f>SUM(F204:F206)</f>
        <v>43891.138589999995</v>
      </c>
      <c r="G207" s="190">
        <f>D207-F207</f>
        <v>2526.861410000005</v>
      </c>
      <c r="H207" s="190">
        <f>SUM(H204:H206)</f>
        <v>42149.887070000004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20.752700000000001</v>
      </c>
      <c r="F249" s="75">
        <f>F250+F251</f>
        <v>4345.6183999999994</v>
      </c>
      <c r="G249" s="75">
        <f>D249-F249</f>
        <v>-358.61839999999938</v>
      </c>
      <c r="H249" s="75">
        <f>H250+H251</f>
        <v>4353.91813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15.0358</f>
        <v>15.0358</v>
      </c>
      <c r="F250" s="75">
        <f>3679.61869</f>
        <v>3679.6186899999998</v>
      </c>
      <c r="G250" s="75"/>
      <c r="H250" s="75">
        <f>3640.83889</f>
        <v>3640.83889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5.7169</f>
        <v>5.7168999999999999</v>
      </c>
      <c r="F251" s="124">
        <f>665.99971</f>
        <v>665.99971000000005</v>
      </c>
      <c r="G251" s="168"/>
      <c r="H251" s="124">
        <f>713.07924</f>
        <v>713.07924000000003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43.35706</f>
        <v>43.357059999999997</v>
      </c>
      <c r="F252" s="75">
        <f>5552.6703</f>
        <v>5552.6702999999998</v>
      </c>
      <c r="G252" s="75">
        <f>D252-F252</f>
        <v>-939.67029999999977</v>
      </c>
      <c r="H252" s="75">
        <f>5690.49343</f>
        <v>5690.4934300000004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64.109759999999994</v>
      </c>
      <c r="F253" s="190">
        <f>SUM(F249,F252)</f>
        <v>9898.2886999999992</v>
      </c>
      <c r="G253" s="190">
        <f>D253-F253</f>
        <v>-1298.2886999999992</v>
      </c>
      <c r="H253" s="190">
        <f>SUM(H249,H252)</f>
        <v>10044.41156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16.54495</v>
      </c>
      <c r="F295" s="75">
        <f>F296+F297</f>
        <v>5444.03442</v>
      </c>
      <c r="G295" s="75">
        <f>D295-F295</f>
        <v>-354.03441999999995</v>
      </c>
      <c r="H295" s="75">
        <f>H296+H297</f>
        <v>6114.3358900000003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10.71515</f>
        <v>10.71515</v>
      </c>
      <c r="F296" s="75">
        <f>4877.99718</f>
        <v>4877.9971800000003</v>
      </c>
      <c r="G296" s="75"/>
      <c r="H296" s="75">
        <f>5586.1654</f>
        <v>5586.1653999999999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5.8298</f>
        <v>5.8297999999999996</v>
      </c>
      <c r="F297" s="124">
        <f>566.03724</f>
        <v>566.03724</v>
      </c>
      <c r="G297" s="168"/>
      <c r="H297" s="124">
        <f>528.17049</f>
        <v>528.17048999999997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96.83402</f>
        <v>96.834019999999995</v>
      </c>
      <c r="F298" s="75">
        <f>3359.47487</f>
        <v>3359.47487</v>
      </c>
      <c r="G298" s="75">
        <f>D298-F298</f>
        <v>-378.47487000000001</v>
      </c>
      <c r="H298" s="75">
        <f>4260.27172</f>
        <v>4260.2717199999997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113.37897</v>
      </c>
      <c r="F299" s="190">
        <f>SUM(F295,F298)</f>
        <v>8803.50929</v>
      </c>
      <c r="G299" s="190">
        <f>D299-F299</f>
        <v>-732.50928999999996</v>
      </c>
      <c r="H299" s="190">
        <f>SUM(H295,H298)</f>
        <v>10374.607609999999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4.34852</f>
        <v>4.3485199999999997</v>
      </c>
      <c r="F350" s="124">
        <f>680.763</f>
        <v>680.76300000000003</v>
      </c>
      <c r="G350" s="124">
        <f>D350-F350</f>
        <v>119.23699999999997</v>
      </c>
      <c r="H350" s="124">
        <f>599.71145</f>
        <v>599.71145000000001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65.9466</f>
        <v>65.946600000000004</v>
      </c>
      <c r="F351" s="124">
        <f>2606.26971</f>
        <v>2606.26971</v>
      </c>
      <c r="G351" s="124">
        <f>D351-F351</f>
        <v>434.73028999999997</v>
      </c>
      <c r="H351" s="124">
        <f>2798.94659</f>
        <v>2798.94659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3.78662</f>
        <v>3.7866200000000001</v>
      </c>
      <c r="G352" s="124">
        <f>D352-F352</f>
        <v>6.2133799999999999</v>
      </c>
      <c r="H352" s="168">
        <f>2.73874</f>
        <v>2.73874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0.00413</f>
        <v>4.13E-3</v>
      </c>
      <c r="F353" s="168">
        <f>2.54029</f>
        <v>2.5402900000000002</v>
      </c>
      <c r="G353" s="124">
        <f>D353-F353</f>
        <v>-2.5402900000000002</v>
      </c>
      <c r="H353" s="168">
        <f>1.81523</f>
        <v>1.8152299999999999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70.299250000000001</v>
      </c>
      <c r="F354" s="190">
        <f>SUM(F350:F353)</f>
        <v>3293.3596199999997</v>
      </c>
      <c r="G354" s="190">
        <f>D354-F354</f>
        <v>557.64038000000028</v>
      </c>
      <c r="H354" s="190">
        <f>H350+H351+H352+H353</f>
        <v>3403.2120100000002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18.165900000000001</v>
      </c>
      <c r="G380" s="253">
        <f t="shared" si="17"/>
        <v>20221.055700000001</v>
      </c>
      <c r="H380" s="253">
        <f>H384+H383+H382+H381</f>
        <v>2747.9442999999992</v>
      </c>
      <c r="I380" s="253">
        <f t="shared" si="17"/>
        <v>17299.988799999999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5.9319</f>
        <v>5.9318999999999997</v>
      </c>
      <c r="G381" s="257">
        <f>13105.02438</f>
        <v>13105.024380000001</v>
      </c>
      <c r="H381" s="257">
        <f t="shared" ref="H381:H385" si="18">E381-G381</f>
        <v>84.975619999999253</v>
      </c>
      <c r="I381" s="257">
        <f>10173.10933</f>
        <v>10173.109329999999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2382.55392</f>
        <v>2382.5539199999998</v>
      </c>
      <c r="H382" s="257">
        <f t="shared" si="18"/>
        <v>1050.4460800000002</v>
      </c>
      <c r="I382" s="257">
        <f>1811.41785</f>
        <v>1811.41785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10.4604</f>
        <v>10.4604</v>
      </c>
      <c r="G383" s="257">
        <f>2184.93669</f>
        <v>2184.93669</v>
      </c>
      <c r="H383" s="257">
        <f t="shared" si="18"/>
        <v>-701.93669</v>
      </c>
      <c r="I383" s="257">
        <f>2122.52052</f>
        <v>2122.52052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1.7736</f>
        <v>1.7736000000000001</v>
      </c>
      <c r="G384" s="257">
        <f>2548.54071</f>
        <v>2548.5407100000002</v>
      </c>
      <c r="H384" s="257">
        <f t="shared" si="18"/>
        <v>2314.4592899999998</v>
      </c>
      <c r="I384" s="257">
        <f>3192.9411</f>
        <v>3192.9411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0</f>
        <v>0</v>
      </c>
      <c r="G385" s="268">
        <f>2272.83678</f>
        <v>2272.8367800000001</v>
      </c>
      <c r="H385" s="268">
        <f t="shared" si="18"/>
        <v>3227.1632199999999</v>
      </c>
      <c r="I385" s="268">
        <f>5113.83428</f>
        <v>5113.83428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88.96669</v>
      </c>
      <c r="G386" s="269">
        <f>G388+G387</f>
        <v>4229.0789800000002</v>
      </c>
      <c r="H386" s="269">
        <f>E386-G386</f>
        <v>3770.9210199999998</v>
      </c>
      <c r="I386" s="269">
        <f>I388+I387</f>
        <v>4777.8465400000005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1065.53427</f>
        <v>1065.5342700000001</v>
      </c>
      <c r="H387" s="257"/>
      <c r="I387" s="257">
        <f>863.37623</f>
        <v>863.37622999999996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88.96669</f>
        <v>88.96669</v>
      </c>
      <c r="G388" s="278">
        <f>3163.54471</f>
        <v>3163.5447100000001</v>
      </c>
      <c r="H388" s="278"/>
      <c r="I388" s="278">
        <f>3914.47031</f>
        <v>3914.4703100000002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0.1565</f>
        <v>0.1565</v>
      </c>
      <c r="H389" s="268">
        <f>E389-G389</f>
        <v>12.843500000000001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0.17688</f>
        <v>0.17688000000000001</v>
      </c>
      <c r="G390" s="268">
        <f>133.94485</f>
        <v>133.94485</v>
      </c>
      <c r="H390" s="268">
        <f>E390-G390</f>
        <v>-133.94485</v>
      </c>
      <c r="I390" s="268">
        <f>134.41609</f>
        <v>134.41609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107.30946999999999</v>
      </c>
      <c r="G391" s="287">
        <f t="shared" si="19"/>
        <v>26857.072810000001</v>
      </c>
      <c r="H391" s="287">
        <f>H380+H385+H386+H389+H390</f>
        <v>9624.9271900000003</v>
      </c>
      <c r="I391" s="287">
        <f t="shared" si="19"/>
        <v>27326.834210000001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1" t="s">
        <v>138</v>
      </c>
      <c r="D407" s="301"/>
      <c r="E407" s="301"/>
      <c r="F407" s="301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1023.75488</v>
      </c>
      <c r="G413" s="85">
        <f>D413-F413</f>
        <v>-129.75487999999996</v>
      </c>
      <c r="H413" s="26">
        <f>SUM(H414:H415)</f>
        <v>988.40122999999994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0</f>
        <v>0</v>
      </c>
      <c r="F414" s="205">
        <f>779.52608</f>
        <v>779.52607999999998</v>
      </c>
      <c r="G414" s="206"/>
      <c r="H414" s="205">
        <f>753.71223</f>
        <v>753.71222999999998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0</f>
        <v>0</v>
      </c>
      <c r="F415" s="208">
        <f>244.2288</f>
        <v>244.22880000000001</v>
      </c>
      <c r="G415" s="209"/>
      <c r="H415" s="208">
        <f>234.689</f>
        <v>234.68899999999999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41.5565</v>
      </c>
      <c r="F416" s="26">
        <f>SUM(F417:F418)</f>
        <v>246.92869999999999</v>
      </c>
      <c r="G416" s="85">
        <f>D416-F416</f>
        <v>647.07130000000006</v>
      </c>
      <c r="H416" s="26">
        <f>SUM(H417:H418)</f>
        <v>265.00599999999997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36.718</f>
        <v>36.718000000000004</v>
      </c>
      <c r="F417" s="30">
        <f>178.584</f>
        <v>178.584</v>
      </c>
      <c r="G417" s="97"/>
      <c r="H417" s="30">
        <f>194.0845</f>
        <v>194.08449999999999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4.8385</f>
        <v>4.8384999999999998</v>
      </c>
      <c r="F418" s="30">
        <f>68.3447</f>
        <v>68.344700000000003</v>
      </c>
      <c r="G418" s="108"/>
      <c r="H418" s="30">
        <f>70.9215</f>
        <v>70.921499999999995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41.5565</v>
      </c>
      <c r="F423" s="40">
        <f>F413+F416+F419+F422</f>
        <v>1270.6835799999999</v>
      </c>
      <c r="G423" s="41">
        <f>D423-F423</f>
        <v>1410.3164200000001</v>
      </c>
      <c r="H423" s="40">
        <f>H413+H416+H419+H422</f>
        <v>1253.4072299999998</v>
      </c>
      <c r="I423" s="27"/>
      <c r="J423" s="130"/>
    </row>
    <row r="424" spans="1:10" ht="42" customHeight="1" x14ac:dyDescent="0.35">
      <c r="A424" s="218"/>
      <c r="B424" s="72"/>
      <c r="C424" s="292" t="s">
        <v>117</v>
      </c>
      <c r="D424" s="292"/>
      <c r="E424" s="292"/>
      <c r="F424" s="292"/>
      <c r="G424" s="292"/>
      <c r="H424" s="292"/>
      <c r="I424" s="292"/>
      <c r="J424" s="293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48&amp;R02.12.2024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2024-12-02T09:34:05Z</dcterms:modified>
</cp:coreProperties>
</file>