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ameikl\Downloads\"/>
    </mc:Choice>
  </mc:AlternateContent>
  <xr:revisionPtr revIDLastSave="0" documentId="13_ncr:1_{85A5E2F3-A216-4415-AE29-F11FC2E15A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D331" i="1"/>
  <c r="H329" i="1"/>
  <c r="F329" i="1"/>
  <c r="E329" i="1"/>
  <c r="H328" i="1"/>
  <c r="H327" i="1" s="1"/>
  <c r="F328" i="1"/>
  <c r="F327" i="1" s="1"/>
  <c r="G327" i="1" s="1"/>
  <c r="E328" i="1"/>
  <c r="E327" i="1" s="1"/>
  <c r="H326" i="1"/>
  <c r="F326" i="1"/>
  <c r="E326" i="1"/>
  <c r="E324" i="1" s="1"/>
  <c r="H325" i="1"/>
  <c r="F325" i="1"/>
  <c r="F324" i="1" s="1"/>
  <c r="G324" i="1" s="1"/>
  <c r="E325" i="1"/>
  <c r="H324" i="1"/>
  <c r="H323" i="1"/>
  <c r="H321" i="1" s="1"/>
  <c r="F323" i="1"/>
  <c r="E323" i="1"/>
  <c r="E321" i="1" s="1"/>
  <c r="H322" i="1"/>
  <c r="F322" i="1"/>
  <c r="F321" i="1" s="1"/>
  <c r="E322" i="1"/>
  <c r="D299" i="1"/>
  <c r="I298" i="1"/>
  <c r="G298" i="1"/>
  <c r="H298" i="1" s="1"/>
  <c r="F298" i="1"/>
  <c r="I297" i="1"/>
  <c r="H297" i="1"/>
  <c r="G297" i="1"/>
  <c r="F297" i="1"/>
  <c r="I296" i="1"/>
  <c r="I294" i="1" s="1"/>
  <c r="G296" i="1"/>
  <c r="F296" i="1"/>
  <c r="F294" i="1" s="1"/>
  <c r="I295" i="1"/>
  <c r="G295" i="1"/>
  <c r="G294" i="1" s="1"/>
  <c r="H294" i="1" s="1"/>
  <c r="F295" i="1"/>
  <c r="I293" i="1"/>
  <c r="G293" i="1"/>
  <c r="H293" i="1" s="1"/>
  <c r="F293" i="1"/>
  <c r="I292" i="1"/>
  <c r="H292" i="1"/>
  <c r="G292" i="1"/>
  <c r="F292" i="1"/>
  <c r="I291" i="1"/>
  <c r="I288" i="1" s="1"/>
  <c r="I299" i="1" s="1"/>
  <c r="G291" i="1"/>
  <c r="G288" i="1" s="1"/>
  <c r="G299" i="1" s="1"/>
  <c r="F291" i="1"/>
  <c r="F288" i="1" s="1"/>
  <c r="F299" i="1" s="1"/>
  <c r="I290" i="1"/>
  <c r="H290" i="1"/>
  <c r="G290" i="1"/>
  <c r="F290" i="1"/>
  <c r="I289" i="1"/>
  <c r="G289" i="1"/>
  <c r="H289" i="1" s="1"/>
  <c r="F289" i="1"/>
  <c r="E288" i="1"/>
  <c r="E299" i="1" s="1"/>
  <c r="D288" i="1"/>
  <c r="H280" i="1"/>
  <c r="F280" i="1"/>
  <c r="D262" i="1"/>
  <c r="H261" i="1"/>
  <c r="F261" i="1"/>
  <c r="E261" i="1"/>
  <c r="H260" i="1"/>
  <c r="G260" i="1"/>
  <c r="F260" i="1"/>
  <c r="E260" i="1"/>
  <c r="H259" i="1"/>
  <c r="F259" i="1"/>
  <c r="G259" i="1" s="1"/>
  <c r="E259" i="1"/>
  <c r="H258" i="1"/>
  <c r="H262" i="1" s="1"/>
  <c r="G258" i="1"/>
  <c r="F258" i="1"/>
  <c r="F262" i="1" s="1"/>
  <c r="G262" i="1" s="1"/>
  <c r="E258" i="1"/>
  <c r="E262" i="1" s="1"/>
  <c r="D251" i="1"/>
  <c r="F207" i="1"/>
  <c r="G207" i="1" s="1"/>
  <c r="D207" i="1"/>
  <c r="G206" i="1"/>
  <c r="H205" i="1"/>
  <c r="F205" i="1"/>
  <c r="G205" i="1" s="1"/>
  <c r="E205" i="1"/>
  <c r="H204" i="1"/>
  <c r="H207" i="1" s="1"/>
  <c r="F204" i="1"/>
  <c r="G204" i="1" s="1"/>
  <c r="E204" i="1"/>
  <c r="E207" i="1" s="1"/>
  <c r="D184" i="1"/>
  <c r="H182" i="1"/>
  <c r="G182" i="1"/>
  <c r="F182" i="1"/>
  <c r="E182" i="1"/>
  <c r="H181" i="1"/>
  <c r="F181" i="1"/>
  <c r="E181" i="1"/>
  <c r="H180" i="1"/>
  <c r="H178" i="1" s="1"/>
  <c r="F180" i="1"/>
  <c r="E180" i="1"/>
  <c r="H179" i="1"/>
  <c r="F179" i="1"/>
  <c r="E179" i="1"/>
  <c r="E178" i="1" s="1"/>
  <c r="F178" i="1"/>
  <c r="G178" i="1" s="1"/>
  <c r="H177" i="1"/>
  <c r="G177" i="1"/>
  <c r="F177" i="1"/>
  <c r="E177" i="1"/>
  <c r="H176" i="1"/>
  <c r="F176" i="1"/>
  <c r="G175" i="1" s="1"/>
  <c r="E176" i="1"/>
  <c r="E184" i="1" s="1"/>
  <c r="H175" i="1"/>
  <c r="F175" i="1"/>
  <c r="E175" i="1"/>
  <c r="D150" i="1"/>
  <c r="H147" i="1"/>
  <c r="H146" i="1"/>
  <c r="H145" i="1"/>
  <c r="F145" i="1"/>
  <c r="I144" i="1"/>
  <c r="H144" i="1"/>
  <c r="G144" i="1"/>
  <c r="F144" i="1"/>
  <c r="I143" i="1"/>
  <c r="G143" i="1"/>
  <c r="H143" i="1" s="1"/>
  <c r="F143" i="1"/>
  <c r="I142" i="1"/>
  <c r="H142" i="1"/>
  <c r="G142" i="1"/>
  <c r="F142" i="1"/>
  <c r="I141" i="1"/>
  <c r="G141" i="1"/>
  <c r="H141" i="1" s="1"/>
  <c r="H139" i="1" s="1"/>
  <c r="F141" i="1"/>
  <c r="I140" i="1"/>
  <c r="H140" i="1"/>
  <c r="G140" i="1"/>
  <c r="F140" i="1"/>
  <c r="I139" i="1"/>
  <c r="G139" i="1"/>
  <c r="F139" i="1"/>
  <c r="F133" i="1" s="1"/>
  <c r="E139" i="1"/>
  <c r="I138" i="1"/>
  <c r="H138" i="1"/>
  <c r="F138" i="1"/>
  <c r="I137" i="1"/>
  <c r="H137" i="1"/>
  <c r="F137" i="1"/>
  <c r="I136" i="1"/>
  <c r="H136" i="1"/>
  <c r="F136" i="1"/>
  <c r="I135" i="1"/>
  <c r="I134" i="1" s="1"/>
  <c r="I133" i="1" s="1"/>
  <c r="G134" i="1"/>
  <c r="G133" i="1" s="1"/>
  <c r="F135" i="1"/>
  <c r="F134" i="1"/>
  <c r="E134" i="1"/>
  <c r="E133" i="1" s="1"/>
  <c r="I132" i="1"/>
  <c r="H132" i="1"/>
  <c r="F132" i="1"/>
  <c r="H131" i="1"/>
  <c r="I130" i="1"/>
  <c r="H130" i="1"/>
  <c r="G130" i="1"/>
  <c r="F130" i="1"/>
  <c r="I129" i="1"/>
  <c r="I128" i="1" s="1"/>
  <c r="I150" i="1" s="1"/>
  <c r="G129" i="1"/>
  <c r="G128" i="1" s="1"/>
  <c r="F129" i="1"/>
  <c r="F128" i="1" s="1"/>
  <c r="F150" i="1" s="1"/>
  <c r="E128" i="1"/>
  <c r="E150" i="1" s="1"/>
  <c r="C126" i="1"/>
  <c r="H106" i="1"/>
  <c r="H105" i="1"/>
  <c r="H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G97" i="1"/>
  <c r="H97" i="1" s="1"/>
  <c r="F97" i="1"/>
  <c r="F96" i="1" s="1"/>
  <c r="F95" i="1" s="1"/>
  <c r="I96" i="1"/>
  <c r="I95" i="1" s="1"/>
  <c r="E96" i="1"/>
  <c r="E95" i="1" s="1"/>
  <c r="D96" i="1"/>
  <c r="D95" i="1"/>
  <c r="D107" i="1" s="1"/>
  <c r="I94" i="1"/>
  <c r="G94" i="1"/>
  <c r="H94" i="1" s="1"/>
  <c r="H92" i="1" s="1"/>
  <c r="F94" i="1"/>
  <c r="I93" i="1"/>
  <c r="I92" i="1" s="1"/>
  <c r="H93" i="1"/>
  <c r="G93" i="1"/>
  <c r="F93" i="1"/>
  <c r="G92" i="1"/>
  <c r="F92" i="1"/>
  <c r="E92" i="1"/>
  <c r="C89" i="1"/>
  <c r="H85" i="1"/>
  <c r="F85" i="1"/>
  <c r="D85" i="1"/>
  <c r="G61" i="1"/>
  <c r="G60" i="1"/>
  <c r="H55" i="1"/>
  <c r="I32" i="1" s="1"/>
  <c r="F55" i="1"/>
  <c r="G32" i="1" s="1"/>
  <c r="E55" i="1"/>
  <c r="E44" i="1"/>
  <c r="D44" i="1"/>
  <c r="H43" i="1"/>
  <c r="H42" i="1"/>
  <c r="H41" i="1"/>
  <c r="H40" i="1"/>
  <c r="F40" i="1"/>
  <c r="I39" i="1"/>
  <c r="G39" i="1"/>
  <c r="H39" i="1" s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F34" i="1" s="1"/>
  <c r="I35" i="1"/>
  <c r="I34" i="1" s="1"/>
  <c r="G35" i="1"/>
  <c r="H35" i="1" s="1"/>
  <c r="F35" i="1"/>
  <c r="I33" i="1"/>
  <c r="H33" i="1"/>
  <c r="G33" i="1"/>
  <c r="F33" i="1"/>
  <c r="F32" i="1"/>
  <c r="I31" i="1"/>
  <c r="G31" i="1"/>
  <c r="H31" i="1" s="1"/>
  <c r="F31" i="1"/>
  <c r="I30" i="1"/>
  <c r="G30" i="1"/>
  <c r="H30" i="1" s="1"/>
  <c r="F30" i="1"/>
  <c r="I29" i="1"/>
  <c r="I27" i="1" s="1"/>
  <c r="H29" i="1"/>
  <c r="G29" i="1"/>
  <c r="F29" i="1"/>
  <c r="I28" i="1"/>
  <c r="G28" i="1"/>
  <c r="H28" i="1" s="1"/>
  <c r="F28" i="1"/>
  <c r="F27" i="1" s="1"/>
  <c r="I25" i="1"/>
  <c r="I23" i="1" s="1"/>
  <c r="H25" i="1"/>
  <c r="H23" i="1" s="1"/>
  <c r="G25" i="1"/>
  <c r="F25" i="1"/>
  <c r="I24" i="1"/>
  <c r="G24" i="1"/>
  <c r="H24" i="1" s="1"/>
  <c r="F24" i="1"/>
  <c r="F23" i="1" s="1"/>
  <c r="G23" i="1"/>
  <c r="H16" i="1"/>
  <c r="F16" i="1"/>
  <c r="D16" i="1"/>
  <c r="G34" i="1" l="1"/>
  <c r="H34" i="1" s="1"/>
  <c r="G184" i="1"/>
  <c r="I107" i="1"/>
  <c r="I26" i="1"/>
  <c r="I44" i="1" s="1"/>
  <c r="H96" i="1"/>
  <c r="H95" i="1" s="1"/>
  <c r="G150" i="1"/>
  <c r="H184" i="1"/>
  <c r="H331" i="1"/>
  <c r="H32" i="1"/>
  <c r="H27" i="1" s="1"/>
  <c r="G27" i="1"/>
  <c r="E107" i="1"/>
  <c r="H107" i="1"/>
  <c r="F107" i="1"/>
  <c r="F26" i="1"/>
  <c r="F44" i="1" s="1"/>
  <c r="G321" i="1"/>
  <c r="G331" i="1" s="1"/>
  <c r="F331" i="1"/>
  <c r="E331" i="1"/>
  <c r="G96" i="1"/>
  <c r="G95" i="1" s="1"/>
  <c r="G107" i="1" s="1"/>
  <c r="G55" i="1"/>
  <c r="H135" i="1"/>
  <c r="H134" i="1" s="1"/>
  <c r="H133" i="1" s="1"/>
  <c r="H129" i="1"/>
  <c r="H128" i="1" s="1"/>
  <c r="F184" i="1"/>
  <c r="H291" i="1"/>
  <c r="H288" i="1" s="1"/>
  <c r="H299" i="1" s="1"/>
  <c r="H150" i="1" l="1"/>
  <c r="H26" i="1"/>
  <c r="H44" i="1" s="1"/>
  <c r="G26" i="1"/>
  <c r="G44" i="1" s="1"/>
</calcChain>
</file>

<file path=xl/sharedStrings.xml><?xml version="1.0" encoding="utf-8"?>
<sst xmlns="http://schemas.openxmlformats.org/spreadsheetml/2006/main" count="330" uniqueCount="148">
  <si>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</si>
  <si>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</si>
  <si>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</si>
  <si>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</si>
  <si>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</si>
  <si>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</si>
  <si>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</si>
  <si>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</si>
  <si>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</si>
  <si>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</si>
  <si>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</si>
  <si>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</si>
  <si>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</si>
  <si>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</si>
  <si>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</si>
  <si>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</si>
  <si>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</si>
  <si>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</si>
  <si>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</si>
  <si>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</si>
  <si>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</si>
  <si>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</si>
  <si>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</si>
  <si>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</si>
  <si>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</si>
  <si>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</si>
  <si>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</si>
  <si>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</si>
  <si>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</si>
  <si>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</si>
  <si>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</si>
  <si>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</si>
  <si>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</si>
  <si>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</si>
  <si>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</si>
  <si>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</si>
  <si>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</si>
  <si>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</si>
  <si>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</si>
  <si>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</si>
  <si>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</si>
  <si>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</si>
  <si>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</si>
  <si>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</si>
  <si>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</si>
  <si>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</si>
  <si>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</si>
  <si>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</si>
  <si>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</si>
  <si>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</si>
  <si>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</si>
  <si>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</si>
  <si>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</si>
  <si>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</si>
  <si>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</si>
  <si>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</si>
  <si>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</si>
  <si>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t xml:space="preserve">2 </t>
    </r>
    <r>
      <rPr>
        <sz val="9"/>
        <color indexed="8"/>
        <rFont val="Calibri"/>
        <family val="2"/>
      </rPr>
      <t>Registrert rekreasjonsfiske utgjør 41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</si>
  <si>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</si>
  <si>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</si>
  <si>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</si>
  <si>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</si>
  <si>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</si>
  <si>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</si>
  <si>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</si>
  <si>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</si>
  <si>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</si>
  <si>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</si>
  <si>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</si>
  <si>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</si>
  <si>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</si>
  <si>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</si>
  <si>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</si>
  <si>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</si>
  <si>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</si>
  <si>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</si>
  <si>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</si>
  <si>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</si>
  <si>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</si>
  <si>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</si>
  <si>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</si>
  <si>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</si>
  <si>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</si>
  <si>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</si>
  <si>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</si>
  <si>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</si>
  <si>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</si>
  <si>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</si>
  <si>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</si>
  <si>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</si>
  <si>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</si>
  <si>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</si>
  <si>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</si>
  <si>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</si>
  <si>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</si>
  <si>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</si>
  <si>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</si>
  <si>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</si>
  <si>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</si>
  <si>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</si>
  <si>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</si>
  <si>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</si>
  <si>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</si>
  <si>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</si>
  <si>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</si>
  <si>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</si>
  <si>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</si>
  <si>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</si>
  <si>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</si>
  <si>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</si>
  <si>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</si>
  <si>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</si>
  <si>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</si>
  <si>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</si>
  <si>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</si>
  <si>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</si>
  <si>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</si>
  <si>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</si>
  <si>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</si>
  <si>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</si>
  <si>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</si>
  <si>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</si>
  <si>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</si>
  <si>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</si>
  <si>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</si>
  <si>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</si>
  <si>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</si>
  <si>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</si>
  <si>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</si>
  <si>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</si>
  <si>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</si>
  <si>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</si>
  <si>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</si>
  <si>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</si>
  <si>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</si>
  <si>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</si>
  <si>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</si>
  <si>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</si>
  <si>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</si>
  <si>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</si>
  <si>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</si>
  <si>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FANGST UKE 22</t>
  </si>
  <si>
    <t>FANGST T.O.M UKE 22</t>
  </si>
  <si>
    <t>RESTKVOTER UKE 22</t>
  </si>
  <si>
    <t>FANGST T.O.M UKE 22 2022</t>
  </si>
  <si>
    <r>
      <t>3</t>
    </r>
    <r>
      <rPr>
        <sz val="9"/>
        <color indexed="8"/>
        <rFont val="Calibri"/>
        <family val="2"/>
      </rPr>
      <t xml:space="preserve"> Det er fisket 1 444 tonn sei med konvensjonelle redskap som belastes notkvoten.</t>
    </r>
  </si>
  <si>
    <r>
      <t xml:space="preserve">3 </t>
    </r>
    <r>
      <rPr>
        <sz val="9"/>
        <color indexed="8"/>
        <rFont val="Calibri"/>
        <family val="2"/>
      </rPr>
      <t>Registrert rekreasjonsfiske utgjør 482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</si>
  <si>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257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</si>
</sst>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="85" zoomScaleNormal="85" zoomScaleSheetLayoutView="100" zoomScalePageLayoutView="85" workbookViewId="0">
      <selection activeCell="F18" sqref="F18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138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121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121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121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121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121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76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139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141</v>
      </c>
      <c r="G22" s="68" t="s">
        <v>142</v>
      </c>
      <c r="H22" s="68" t="s">
        <v>143</v>
      </c>
      <c r="I22" s="68" t="s">
        <v>144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552.82500000000005</v>
      </c>
      <c r="G23" s="28">
        <f t="shared" si="0"/>
        <v>43936.310120000002</v>
      </c>
      <c r="H23" s="11">
        <f t="shared" si="0"/>
        <v>42890.689879999998</v>
      </c>
      <c r="I23" s="11">
        <f t="shared" si="0"/>
        <v>51806.542760000004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552.825</f>
        <v>552.82500000000005</v>
      </c>
      <c r="G24" s="23">
        <f>43718.69588</f>
        <v>43718.695879999999</v>
      </c>
      <c r="H24" s="23">
        <f>E24-G24</f>
        <v>42326.304120000001</v>
      </c>
      <c r="I24" s="23">
        <f>51506.33529</f>
        <v>51506.335290000003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</f>
        <v>0</v>
      </c>
      <c r="G25" s="23">
        <f>217.61424</f>
        <v>217.61424</v>
      </c>
      <c r="H25" s="23">
        <f>E25-G25</f>
        <v>564.38576</v>
      </c>
      <c r="I25" s="23">
        <f>300.20747</f>
        <v>300.20747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1233.07311</v>
      </c>
      <c r="G26" s="11">
        <f t="shared" si="1"/>
        <v>161057.10378</v>
      </c>
      <c r="H26" s="11">
        <f t="shared" si="1"/>
        <v>36512.896220000002</v>
      </c>
      <c r="I26" s="11">
        <f t="shared" si="1"/>
        <v>193962.78317000001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850.19114999999999</v>
      </c>
      <c r="G27" s="134">
        <f t="shared" ref="G27:I27" si="2">G28+G29+G30+G31+G32</f>
        <v>128465.98963</v>
      </c>
      <c r="H27" s="134">
        <f t="shared" si="2"/>
        <v>24185.010370000004</v>
      </c>
      <c r="I27" s="134">
        <f t="shared" si="2"/>
        <v>160825.21454000002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161.21675</f>
        <v>161.21674999999999</v>
      </c>
      <c r="G28" s="129">
        <f>35551.69585 - F57</f>
        <v>35551.695849999996</v>
      </c>
      <c r="H28" s="129">
        <f t="shared" ref="H28:H40" si="3">E28-G28</f>
        <v>3997.3041500000036</v>
      </c>
      <c r="I28" s="129">
        <f>41185.81384 - H57</f>
        <v>41185.813840000003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176.49115</f>
        <v>176.49115</v>
      </c>
      <c r="G29" s="129">
        <f>36393.74464 - F58</f>
        <v>36393.744639999997</v>
      </c>
      <c r="H29" s="129">
        <f t="shared" si="3"/>
        <v>4370.2553600000028</v>
      </c>
      <c r="I29" s="129">
        <f>43648.47327 - H58</f>
        <v>43648.473270000002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355.95609</f>
        <v>355.95609000000002</v>
      </c>
      <c r="G30" s="129">
        <f>33587.40875 - F59</f>
        <v>33587.408750000002</v>
      </c>
      <c r="H30" s="129">
        <f t="shared" si="3"/>
        <v>3679.5912499999977</v>
      </c>
      <c r="I30" s="129">
        <f>44151.4619 - H59</f>
        <v>44151.461900000002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156.52716</f>
        <v>156.52716000000001</v>
      </c>
      <c r="G31" s="129">
        <f>22933.14039 - F60</f>
        <v>22933.14039</v>
      </c>
      <c r="H31" s="129">
        <f t="shared" si="3"/>
        <v>2473.8596099999995</v>
      </c>
      <c r="I31" s="129">
        <f>31839.46553 - H60</f>
        <v>31839.465530000001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4.194</f>
        <v>4.194</v>
      </c>
      <c r="G33" s="134">
        <f>13159.59144</f>
        <v>13159.59144</v>
      </c>
      <c r="H33" s="134">
        <f t="shared" si="3"/>
        <v>10426.40856</v>
      </c>
      <c r="I33" s="134">
        <f>15033.57912</f>
        <v>15033.57912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378.68795999999998</v>
      </c>
      <c r="G34" s="134">
        <f>G35+G36</f>
        <v>19431.522710000001</v>
      </c>
      <c r="H34" s="134">
        <f t="shared" si="3"/>
        <v>1901.4772899999989</v>
      </c>
      <c r="I34" s="134">
        <f>I35+I36</f>
        <v>18103.989509999999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378.68796</f>
        <v>378.68795999999998</v>
      </c>
      <c r="G35" s="134">
        <f>23226.52271 - F61 - F62</f>
        <v>19431.522710000001</v>
      </c>
      <c r="H35" s="129">
        <f t="shared" si="3"/>
        <v>701.4772899999989</v>
      </c>
      <c r="I35" s="129">
        <f>19494.98951 - H61 - H62</f>
        <v>18103.989509999999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277.8618</f>
        <v>277.86180000000002</v>
      </c>
      <c r="H37" s="141">
        <f t="shared" si="3"/>
        <v>2722.1381999999999</v>
      </c>
      <c r="I37" s="141">
        <f>327.54855</f>
        <v>327.54854999999998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2.1</f>
        <v>2.1</v>
      </c>
      <c r="G38" s="100">
        <f>464.06382</f>
        <v>464.06382000000002</v>
      </c>
      <c r="H38" s="100">
        <f t="shared" si="3"/>
        <v>386.93617999999998</v>
      </c>
      <c r="I38" s="100">
        <f>436.88161</f>
        <v>436.88161000000002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144</v>
      </c>
      <c r="G39" s="100">
        <f>F61</f>
        <v>3795</v>
      </c>
      <c r="H39" s="100">
        <f t="shared" si="3"/>
        <v>-747</v>
      </c>
      <c r="I39" s="100">
        <f>H61</f>
        <v>1391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3.60041</f>
        <v>3.6004100000000001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1935.6015199999999</v>
      </c>
      <c r="G44" s="78">
        <f t="shared" si="4"/>
        <v>216609.90052000005</v>
      </c>
      <c r="H44" s="78">
        <f t="shared" si="4"/>
        <v>82086.099479999975</v>
      </c>
      <c r="I44" s="78">
        <f t="shared" si="4"/>
        <v>255045.69452000002</v>
      </c>
      <c r="J44" s="242"/>
    </row>
    <row r="45" spans="1:13" ht="14.1" customHeight="1" x14ac:dyDescent="0.25">
      <c r="A45" s="101"/>
      <c r="B45" s="24"/>
      <c r="C45" s="80" t="s">
        <v>130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146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129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141</v>
      </c>
      <c r="F54" s="68" t="s">
        <v>142</v>
      </c>
      <c r="G54" s="68" t="s">
        <v>143</v>
      </c>
      <c r="H54" s="68" t="s">
        <v>144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thickBot="1" x14ac:dyDescent="0.3">
      <c r="A60" s="101"/>
      <c r="B60" s="24"/>
      <c r="C60" s="91" t="s">
        <v>47</v>
      </c>
      <c r="D60" s="97">
        <v>1200</v>
      </c>
      <c r="E60" s="97">
        <v>0</v>
      </c>
      <c r="F60" s="97">
        <v>0</v>
      </c>
      <c r="G60" s="97">
        <f>D60-F60</f>
        <v>1200</v>
      </c>
      <c r="H60" s="97">
        <v>0</v>
      </c>
      <c r="I60" s="256"/>
      <c r="J60" s="242"/>
    </row>
    <row r="61" spans="1:10" ht="14.1" customHeight="1" thickBot="1" x14ac:dyDescent="0.3">
      <c r="A61" s="101"/>
      <c r="B61" s="24"/>
      <c r="C61" s="144" t="s">
        <v>48</v>
      </c>
      <c r="D61" s="141">
        <v>3000</v>
      </c>
      <c r="E61" s="141">
        <v>144</v>
      </c>
      <c r="F61" s="141">
        <v>3795</v>
      </c>
      <c r="G61" s="141">
        <f>D61-F61</f>
        <v>-795</v>
      </c>
      <c r="H61" s="141">
        <v>1391</v>
      </c>
      <c r="I61" s="256"/>
      <c r="J61" s="242"/>
    </row>
    <row r="62" spans="1:10" ht="14.1" customHeight="1" x14ac:dyDescent="0.25">
      <c r="A62" s="101"/>
      <c r="B62" s="24"/>
      <c r="C62" s="80" t="s">
        <v>126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121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76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140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141</v>
      </c>
      <c r="G91" s="15" t="s">
        <v>142</v>
      </c>
      <c r="H91" s="15" t="s">
        <v>143</v>
      </c>
      <c r="I91" s="15" t="s">
        <v>144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23.559200000000001</v>
      </c>
      <c r="G92" s="11">
        <f t="shared" si="5"/>
        <v>38343.906920000001</v>
      </c>
      <c r="H92" s="11">
        <f t="shared" si="5"/>
        <v>-3544.9069200000004</v>
      </c>
      <c r="I92" s="11">
        <f t="shared" si="5"/>
        <v>34235.28368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23.5592</f>
        <v>23.559200000000001</v>
      </c>
      <c r="G93" s="23">
        <f>37848.51958</f>
        <v>37848.51958</v>
      </c>
      <c r="H93" s="23">
        <f>E93-G93</f>
        <v>-3861.5195800000001</v>
      </c>
      <c r="I93" s="23">
        <f>33586.09241</f>
        <v>33586.092409999997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0</f>
        <v>0</v>
      </c>
      <c r="G94" s="52">
        <f>495.38734</f>
        <v>495.38733999999999</v>
      </c>
      <c r="H94" s="52">
        <f>E94-G94</f>
        <v>316.61266000000001</v>
      </c>
      <c r="I94" s="52">
        <f>649.19127</f>
        <v>649.19127000000003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705.77435000000003</v>
      </c>
      <c r="G95" s="11">
        <f t="shared" si="6"/>
        <v>18180.922430000002</v>
      </c>
      <c r="H95" s="11">
        <f t="shared" si="6"/>
        <v>41319.077570000001</v>
      </c>
      <c r="I95" s="11">
        <f t="shared" si="6"/>
        <v>22588.576489999999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683.34107000000006</v>
      </c>
      <c r="G96" s="134">
        <f t="shared" si="7"/>
        <v>12597.543970000001</v>
      </c>
      <c r="H96" s="134">
        <f t="shared" si="7"/>
        <v>31893.456030000001</v>
      </c>
      <c r="I96" s="134">
        <f t="shared" si="7"/>
        <v>17303.71428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74.60856</f>
        <v>74.608559999999997</v>
      </c>
      <c r="G97" s="129">
        <f>2204.53344</f>
        <v>2204.5334400000002</v>
      </c>
      <c r="H97" s="129">
        <f t="shared" ref="H97:H104" si="8">E97-G97</f>
        <v>9679.1665600000015</v>
      </c>
      <c r="I97" s="129">
        <f>2287.74262</f>
        <v>2287.74262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289.37395</f>
        <v>289.37394999999998</v>
      </c>
      <c r="G98" s="129">
        <f>4019.06135</f>
        <v>4019.0613499999999</v>
      </c>
      <c r="H98" s="129">
        <f t="shared" si="8"/>
        <v>8646.0386500000004</v>
      </c>
      <c r="I98" s="129">
        <f>5653.45501</f>
        <v>5653.4550099999997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149.92832</f>
        <v>149.92832000000001</v>
      </c>
      <c r="G99" s="129">
        <f>3278.6182</f>
        <v>3278.6181999999999</v>
      </c>
      <c r="H99" s="129">
        <f t="shared" si="8"/>
        <v>8686.9818000000014</v>
      </c>
      <c r="I99" s="129">
        <f>5141.43611</f>
        <v>5141.4361099999996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169.43024</f>
        <v>169.43024</v>
      </c>
      <c r="G100" s="129">
        <f>3095.33098</f>
        <v>3095.3309800000002</v>
      </c>
      <c r="H100" s="129">
        <f t="shared" si="8"/>
        <v>4881.2690199999997</v>
      </c>
      <c r="I100" s="129">
        <f>4221.08054</f>
        <v>4221.0805399999999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3.794</f>
        <v>3.794</v>
      </c>
      <c r="G101" s="134">
        <f>4413.80215</f>
        <v>4413.8021500000004</v>
      </c>
      <c r="H101" s="134">
        <f t="shared" si="8"/>
        <v>5977.1978499999996</v>
      </c>
      <c r="I101" s="134">
        <f>4383.30804</f>
        <v>4383.3080399999999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18.63928</f>
        <v>18.639279999999999</v>
      </c>
      <c r="G102" s="77">
        <f>1169.57631</f>
        <v>1169.5763099999999</v>
      </c>
      <c r="H102" s="77">
        <f t="shared" si="8"/>
        <v>3448.4236900000001</v>
      </c>
      <c r="I102" s="77">
        <f>901.55417</f>
        <v>901.55417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11.24867</f>
        <v>11.248670000000001</v>
      </c>
      <c r="H103" s="100">
        <f t="shared" si="8"/>
        <v>308.75133</v>
      </c>
      <c r="I103" s="100">
        <f>21.99483</f>
        <v>21.99483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0.16884</f>
        <v>0.16883999999999999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729.5023900000001</v>
      </c>
      <c r="G107" s="78">
        <f t="shared" si="9"/>
        <v>56844.845819999988</v>
      </c>
      <c r="H107" s="78">
        <f t="shared" si="9"/>
        <v>38124.154180000012</v>
      </c>
      <c r="I107" s="78">
        <f t="shared" si="9"/>
        <v>57189.589780000002</v>
      </c>
      <c r="J107" s="242"/>
    </row>
    <row r="108" spans="1:10" ht="13.5" customHeight="1" x14ac:dyDescent="0.25">
      <c r="A108" s="1"/>
      <c r="B108" s="252"/>
      <c r="C108" s="80" t="s">
        <v>128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57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127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58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121</v>
      </c>
      <c r="D113" s="226"/>
      <c r="E113" s="226"/>
      <c r="F113" s="226"/>
      <c r="G113" s="226"/>
      <c r="H113" s="226"/>
      <c r="I113" s="101"/>
      <c r="J113" s="101" t="s">
        <v>121</v>
      </c>
    </row>
    <row r="114" spans="1:10" ht="14.25" customHeight="1" x14ac:dyDescent="0.25">
      <c r="A114" s="1"/>
      <c r="B114" s="101"/>
      <c r="C114" s="101" t="s">
        <v>121</v>
      </c>
      <c r="D114" s="101" t="s">
        <v>121</v>
      </c>
      <c r="E114" s="101"/>
      <c r="F114" s="101"/>
      <c r="G114" s="101"/>
      <c r="H114" s="101"/>
      <c r="I114" s="101"/>
      <c r="J114" s="101" t="s">
        <v>121</v>
      </c>
    </row>
    <row r="115" spans="1:10" ht="17.100000000000001" customHeight="1" x14ac:dyDescent="0.25">
      <c r="A115" s="216"/>
      <c r="B115" s="216"/>
      <c r="C115" s="217" t="s">
        <v>59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60</v>
      </c>
      <c r="D121" s="119">
        <v>2150</v>
      </c>
      <c r="E121" s="117" t="s">
        <v>61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62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131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63</v>
      </c>
      <c r="F127" s="15" t="s">
        <v>141</v>
      </c>
      <c r="G127" s="15" t="s">
        <v>142</v>
      </c>
      <c r="H127" s="15" t="s">
        <v>143</v>
      </c>
      <c r="I127" s="15" t="s">
        <v>144</v>
      </c>
      <c r="J127" s="278"/>
    </row>
    <row r="128" spans="1:10" ht="14.1" customHeight="1" x14ac:dyDescent="0.25">
      <c r="A128" s="1"/>
      <c r="B128" s="252"/>
      <c r="C128" s="16" t="s">
        <v>64</v>
      </c>
      <c r="D128" s="28">
        <v>77128</v>
      </c>
      <c r="E128" s="28">
        <f t="shared" ref="E128:I128" si="10">E129+E130+E131</f>
        <v>70541</v>
      </c>
      <c r="F128" s="11">
        <f t="shared" si="10"/>
        <v>318.67424999999997</v>
      </c>
      <c r="G128" s="11">
        <f t="shared" si="10"/>
        <v>34173.598230000003</v>
      </c>
      <c r="H128" s="11">
        <f t="shared" si="10"/>
        <v>36367.401769999997</v>
      </c>
      <c r="I128" s="11">
        <f t="shared" si="10"/>
        <v>34805.559670000002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318.67425</f>
        <v>318.67424999999997</v>
      </c>
      <c r="G129" s="23">
        <f>29639.10385</f>
        <v>29639.10385</v>
      </c>
      <c r="H129" s="23">
        <f>E129-G129</f>
        <v>26452.89615</v>
      </c>
      <c r="I129" s="23">
        <f>29067.45401</f>
        <v>29067.454010000001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0</f>
        <v>0</v>
      </c>
      <c r="G130" s="23">
        <f>4534.49438</f>
        <v>4534.4943800000001</v>
      </c>
      <c r="H130" s="23">
        <f>E130-G130</f>
        <v>9414.5056199999999</v>
      </c>
      <c r="I130" s="23">
        <f>5738.10566</f>
        <v>5738.1056600000002</v>
      </c>
      <c r="J130" s="242"/>
    </row>
    <row r="131" spans="1:10" ht="13.5" customHeight="1" x14ac:dyDescent="0.25">
      <c r="A131" s="1"/>
      <c r="B131" s="252"/>
      <c r="C131" s="50" t="s">
        <v>65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66</v>
      </c>
      <c r="D132" s="93">
        <v>52113</v>
      </c>
      <c r="E132" s="93">
        <v>49172</v>
      </c>
      <c r="F132" s="97">
        <f>1421.8066</f>
        <v>1421.8065999999999</v>
      </c>
      <c r="G132" s="97">
        <f>8754.95537+1444.198695</f>
        <v>10199.154064999999</v>
      </c>
      <c r="H132" s="97">
        <f>E132-G132</f>
        <v>38972.845935000005</v>
      </c>
      <c r="I132" s="97">
        <f>9925.48614</f>
        <v>9925.4861400000009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676.28998000000001</v>
      </c>
      <c r="G133" s="96">
        <f t="shared" ref="G133" si="11">G134+G139+G142</f>
        <v>43325.534854999998</v>
      </c>
      <c r="H133" s="96">
        <f>H134+H139+H142</f>
        <v>37614.465144999995</v>
      </c>
      <c r="I133" s="96">
        <f>I134+I139+I142</f>
        <v>41575.163590000004</v>
      </c>
      <c r="J133" s="122"/>
    </row>
    <row r="134" spans="1:10" ht="14.1" customHeight="1" x14ac:dyDescent="0.25">
      <c r="A134" s="1"/>
      <c r="B134" s="54"/>
      <c r="C134" s="123" t="s">
        <v>67</v>
      </c>
      <c r="D134" s="125">
        <v>60918</v>
      </c>
      <c r="E134" s="125">
        <f>E135+E136+E137+E138</f>
        <v>59504</v>
      </c>
      <c r="F134" s="127">
        <f>F135+F136+F137+F138</f>
        <v>588.64771999999994</v>
      </c>
      <c r="G134" s="127">
        <f>G135+G136+G138+G137</f>
        <v>33933.426095000003</v>
      </c>
      <c r="H134" s="127">
        <f>H135+H136+H137+H138</f>
        <v>25570.573904999997</v>
      </c>
      <c r="I134" s="127">
        <f>I135+I136+I137+I138</f>
        <v>32689.712240000001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63.08483</f>
        <v>63.084829999999997</v>
      </c>
      <c r="G135" s="129">
        <v>5606.6952499999998</v>
      </c>
      <c r="H135" s="129">
        <f>E135-G135</f>
        <v>11897.304749999999</v>
      </c>
      <c r="I135" s="129">
        <f>4613.62949</f>
        <v>4613.6294900000003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159.35796</f>
        <v>159.35795999999999</v>
      </c>
      <c r="G136" s="129">
        <v>9988.6256200000007</v>
      </c>
      <c r="H136" s="129">
        <f>E136-G136</f>
        <v>5095.3743799999993</v>
      </c>
      <c r="I136" s="129">
        <f>7921.64226</f>
        <v>7921.6422599999996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259.36573</f>
        <v>259.36572999999999</v>
      </c>
      <c r="G137" s="129">
        <v>9119.1845400000002</v>
      </c>
      <c r="H137" s="129">
        <f>E137-G137</f>
        <v>5903.8154599999998</v>
      </c>
      <c r="I137" s="129">
        <f>10178.47619</f>
        <v>10178.476189999999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106.8392</f>
        <v>106.83920000000001</v>
      </c>
      <c r="G138" s="129">
        <v>9218.9206849999991</v>
      </c>
      <c r="H138" s="129">
        <f>E138-G138</f>
        <v>2674.0793150000009</v>
      </c>
      <c r="I138" s="129">
        <f>9975.9643</f>
        <v>9975.9642999999996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3.3223500000000001</v>
      </c>
      <c r="G139" s="134">
        <f>SUM(G140:G141)</f>
        <v>6178.42623</v>
      </c>
      <c r="H139" s="134">
        <f>H140+H141</f>
        <v>3253.5737699999995</v>
      </c>
      <c r="I139" s="134">
        <f>SUM(I140:I141)</f>
        <v>5847.3998299999994</v>
      </c>
      <c r="J139" s="136"/>
    </row>
    <row r="140" spans="1:10" ht="14.1" customHeight="1" x14ac:dyDescent="0.25">
      <c r="A140" s="1"/>
      <c r="B140" s="252"/>
      <c r="C140" s="64" t="s">
        <v>68</v>
      </c>
      <c r="D140" s="65">
        <v>8213</v>
      </c>
      <c r="E140" s="65">
        <v>8932</v>
      </c>
      <c r="F140" s="129">
        <f>3.32235</f>
        <v>3.3223500000000001</v>
      </c>
      <c r="G140" s="129">
        <f>6051.78847</f>
        <v>6051.7884700000004</v>
      </c>
      <c r="H140" s="129">
        <f t="shared" ref="H140:H147" si="12">E140-G140</f>
        <v>2880.2115299999996</v>
      </c>
      <c r="I140" s="129">
        <f>5741.33447</f>
        <v>5741.3344699999998</v>
      </c>
      <c r="J140" s="122"/>
    </row>
    <row r="141" spans="1:10" ht="15" customHeight="1" x14ac:dyDescent="0.25">
      <c r="A141" s="1"/>
      <c r="B141" s="55"/>
      <c r="C141" s="64" t="s">
        <v>69</v>
      </c>
      <c r="D141" s="65">
        <v>500</v>
      </c>
      <c r="E141" s="65">
        <v>500</v>
      </c>
      <c r="F141" s="129">
        <f>0</f>
        <v>0</v>
      </c>
      <c r="G141" s="129">
        <f>126.63776</f>
        <v>126.63776</v>
      </c>
      <c r="H141" s="129">
        <f t="shared" si="12"/>
        <v>373.36223999999999</v>
      </c>
      <c r="I141" s="129">
        <f>106.06536</f>
        <v>106.06536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84.31991</f>
        <v>84.319909999999993</v>
      </c>
      <c r="G142" s="77">
        <f>3213.68253</f>
        <v>3213.68253</v>
      </c>
      <c r="H142" s="77">
        <f t="shared" si="12"/>
        <v>8790.31747</v>
      </c>
      <c r="I142" s="77">
        <f>3038.05152</f>
        <v>3038.05152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0.03375</f>
        <v>3.3750000000000002E-2</v>
      </c>
      <c r="G143" s="141">
        <f>27.361</f>
        <v>27.361000000000001</v>
      </c>
      <c r="H143" s="141">
        <f t="shared" si="12"/>
        <v>109.639</v>
      </c>
      <c r="I143" s="141">
        <f>21.47357</f>
        <v>21.473569999999999</v>
      </c>
      <c r="J143" s="122"/>
    </row>
    <row r="144" spans="1:10" ht="15.75" customHeight="1" x14ac:dyDescent="0.25">
      <c r="A144" s="1"/>
      <c r="B144" s="252"/>
      <c r="C144" s="142" t="s">
        <v>70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2"/>
        <v>-12.581000000000017</v>
      </c>
      <c r="I144" s="100">
        <f>149.559</f>
        <v>149.559</v>
      </c>
      <c r="J144" s="122"/>
    </row>
    <row r="145" spans="1:10" ht="18" customHeight="1" x14ac:dyDescent="0.25">
      <c r="A145" s="1"/>
      <c r="B145" s="252"/>
      <c r="C145" s="142" t="s">
        <v>71</v>
      </c>
      <c r="D145" s="145">
        <v>2000</v>
      </c>
      <c r="E145" s="145">
        <v>2000</v>
      </c>
      <c r="F145" s="141">
        <f>5.17698</f>
        <v>5.1769800000000004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72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2421.9815600000002</v>
      </c>
      <c r="G150" s="78">
        <f>G128+G132+G133+G143+G144+G145+G146+G147+G148</f>
        <v>89988.229149999999</v>
      </c>
      <c r="H150" s="78">
        <f>H128+H132+H133+H143+H144+H145+H146+H147+H148</f>
        <v>113246.77084999999</v>
      </c>
      <c r="I150" s="78">
        <f>I128+I132+I133+I143+I144+I145+I146+I147+I148</f>
        <v>88477.241970000003</v>
      </c>
      <c r="J150" s="162"/>
    </row>
    <row r="151" spans="1:10" ht="14.25" customHeight="1" x14ac:dyDescent="0.25">
      <c r="A151" s="159"/>
      <c r="B151" s="54"/>
      <c r="C151" s="163" t="s">
        <v>73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132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145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147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74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133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121</v>
      </c>
      <c r="B162" s="2"/>
      <c r="C162" s="217" t="s">
        <v>75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121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121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76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141</v>
      </c>
      <c r="F174" s="15" t="s">
        <v>142</v>
      </c>
      <c r="G174" s="56" t="s">
        <v>143</v>
      </c>
      <c r="H174" s="15" t="s">
        <v>144</v>
      </c>
      <c r="I174" s="159"/>
      <c r="J174" s="278"/>
    </row>
    <row r="175" spans="1:10" ht="14.1" customHeight="1" x14ac:dyDescent="0.25">
      <c r="A175" s="1"/>
      <c r="B175" s="252"/>
      <c r="C175" s="143" t="s">
        <v>77</v>
      </c>
      <c r="D175" s="96">
        <v>4988</v>
      </c>
      <c r="E175" s="274">
        <f>25.89832</f>
        <v>25.898319999999998</v>
      </c>
      <c r="F175" s="274">
        <f>749.70739</f>
        <v>749.70739000000003</v>
      </c>
      <c r="G175" s="45">
        <f>D175-F175-F176</f>
        <v>3638.7562100000005</v>
      </c>
      <c r="H175" s="274">
        <f>549.91731</f>
        <v>549.91731000000004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599.5364</f>
        <v>599.53639999999996</v>
      </c>
      <c r="G176" s="215"/>
      <c r="H176" s="154">
        <f>892.36342</f>
        <v>892.36342000000002</v>
      </c>
      <c r="I176" s="1"/>
      <c r="J176" s="122"/>
    </row>
    <row r="177" spans="1:10" ht="15.6" customHeight="1" x14ac:dyDescent="0.25">
      <c r="A177" s="1"/>
      <c r="B177" s="252"/>
      <c r="C177" s="171" t="s">
        <v>78</v>
      </c>
      <c r="D177" s="100">
        <v>200</v>
      </c>
      <c r="E177" s="174">
        <f>0.422</f>
        <v>0.42199999999999999</v>
      </c>
      <c r="F177" s="174">
        <f>54.68148</f>
        <v>54.681480000000001</v>
      </c>
      <c r="G177" s="174">
        <f>D177-F177</f>
        <v>145.31852000000001</v>
      </c>
      <c r="H177" s="174">
        <f>48.09946</f>
        <v>48.099460000000001</v>
      </c>
      <c r="I177" s="1"/>
      <c r="J177" s="122"/>
    </row>
    <row r="178" spans="1:10" ht="14.1" customHeight="1" x14ac:dyDescent="0.25">
      <c r="A178" s="70"/>
      <c r="B178" s="81"/>
      <c r="C178" s="182" t="s">
        <v>79</v>
      </c>
      <c r="D178" s="183">
        <v>7481</v>
      </c>
      <c r="E178" s="183">
        <f>E179+E180+E181</f>
        <v>1494.92047</v>
      </c>
      <c r="F178" s="183">
        <f>F179+F180+F181</f>
        <v>1537.8971700000002</v>
      </c>
      <c r="G178" s="183">
        <f>D178-F178</f>
        <v>5943.1028299999998</v>
      </c>
      <c r="H178" s="183">
        <f>H179+H180+H181</f>
        <v>3523.6486999999997</v>
      </c>
      <c r="I178" s="70"/>
      <c r="J178" s="118"/>
    </row>
    <row r="179" spans="1:10" ht="14.1" customHeight="1" x14ac:dyDescent="0.25">
      <c r="A179" s="199"/>
      <c r="B179" s="184"/>
      <c r="C179" s="185" t="s">
        <v>80</v>
      </c>
      <c r="D179" s="129"/>
      <c r="E179" s="129">
        <f>617.61201</f>
        <v>617.61201000000005</v>
      </c>
      <c r="F179" s="129">
        <f>630.26999</f>
        <v>630.26999000000001</v>
      </c>
      <c r="G179" s="129"/>
      <c r="H179" s="129">
        <f>1703.16944</f>
        <v>1703.1694399999999</v>
      </c>
      <c r="I179" s="188"/>
      <c r="J179" s="131"/>
    </row>
    <row r="180" spans="1:10" ht="14.1" customHeight="1" x14ac:dyDescent="0.25">
      <c r="A180" s="199"/>
      <c r="B180" s="184"/>
      <c r="C180" s="185" t="s">
        <v>81</v>
      </c>
      <c r="D180" s="129"/>
      <c r="E180" s="129">
        <f>556.976</f>
        <v>556.976</v>
      </c>
      <c r="F180" s="129">
        <f>583.23908</f>
        <v>583.23907999999994</v>
      </c>
      <c r="G180" s="129"/>
      <c r="H180" s="129">
        <f>1099.32093</f>
        <v>1099.3209300000001</v>
      </c>
      <c r="I180" s="188"/>
      <c r="J180" s="189"/>
    </row>
    <row r="181" spans="1:10" ht="14.1" customHeight="1" x14ac:dyDescent="0.25">
      <c r="A181" s="199"/>
      <c r="B181" s="184"/>
      <c r="C181" s="191" t="s">
        <v>82</v>
      </c>
      <c r="D181" s="194"/>
      <c r="E181" s="194">
        <f>320.33246</f>
        <v>320.33246000000003</v>
      </c>
      <c r="F181" s="194">
        <f>324.3881</f>
        <v>324.38810000000001</v>
      </c>
      <c r="G181" s="194"/>
      <c r="H181" s="194">
        <f>721.15833</f>
        <v>721.15832999999998</v>
      </c>
      <c r="I181" s="188"/>
      <c r="J181" s="189"/>
    </row>
    <row r="182" spans="1:10" ht="14.1" customHeight="1" x14ac:dyDescent="0.25">
      <c r="A182" s="1"/>
      <c r="B182" s="252"/>
      <c r="C182" s="75" t="s">
        <v>83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84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1521.2407900000001</v>
      </c>
      <c r="F184" s="196">
        <f>F175+F176+F177+F178+F182+F183</f>
        <v>2941.8224399999999</v>
      </c>
      <c r="G184" s="196">
        <f>D184-F184</f>
        <v>9793.1775600000001</v>
      </c>
      <c r="H184" s="196">
        <f>H175+H176+H177+H178+H182+H183</f>
        <v>5014.0288899999996</v>
      </c>
      <c r="I184" s="165"/>
      <c r="J184" s="162"/>
    </row>
    <row r="185" spans="1:10" ht="42" customHeight="1" x14ac:dyDescent="0.25">
      <c r="A185" s="1"/>
      <c r="B185" s="200"/>
      <c r="C185" s="225" t="s">
        <v>134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121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121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85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121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86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87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88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135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136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137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141</v>
      </c>
      <c r="F203" s="68" t="s">
        <v>142</v>
      </c>
      <c r="G203" s="68" t="s">
        <v>143</v>
      </c>
      <c r="H203" s="68" t="s">
        <v>144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2301.08576</f>
        <v>2301.0857599999999</v>
      </c>
      <c r="F204" s="124">
        <f>15443.27213</f>
        <v>15443.272129999999</v>
      </c>
      <c r="G204" s="124">
        <f>D204-F204</f>
        <v>28395.727870000002</v>
      </c>
      <c r="H204" s="124">
        <f>15001.70222</f>
        <v>15001.702219999999</v>
      </c>
      <c r="I204" s="246"/>
      <c r="J204" s="122"/>
    </row>
    <row r="205" spans="1:10" ht="15" customHeight="1" x14ac:dyDescent="0.25">
      <c r="A205" s="1"/>
      <c r="B205" s="252"/>
      <c r="C205" s="90" t="s">
        <v>69</v>
      </c>
      <c r="D205" s="124">
        <v>100</v>
      </c>
      <c r="E205" s="124">
        <f>0.615</f>
        <v>0.61499999999999999</v>
      </c>
      <c r="F205" s="124">
        <f>5.30837</f>
        <v>5.30837</v>
      </c>
      <c r="G205" s="124">
        <f>D205-F205</f>
        <v>94.691630000000004</v>
      </c>
      <c r="H205" s="124">
        <f>20.60636</f>
        <v>20.606359999999999</v>
      </c>
      <c r="I205" s="246"/>
      <c r="J205" s="122"/>
    </row>
    <row r="206" spans="1:10" ht="15.75" customHeight="1" x14ac:dyDescent="0.25">
      <c r="A206" s="1"/>
      <c r="B206" s="252"/>
      <c r="C206" s="146" t="s">
        <v>83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89</v>
      </c>
      <c r="D207" s="190">
        <f>SUM(D204:D206)</f>
        <v>43981</v>
      </c>
      <c r="E207" s="190">
        <f>SUM(E204:E206)</f>
        <v>2301.7007599999997</v>
      </c>
      <c r="F207" s="190">
        <f>SUM(F204:F206)</f>
        <v>15448.5805</v>
      </c>
      <c r="G207" s="190">
        <f>D207-F207</f>
        <v>28532.4195</v>
      </c>
      <c r="H207" s="190">
        <f>SUM(H204:H206)</f>
        <v>15022.308579999999</v>
      </c>
      <c r="I207" s="246"/>
      <c r="J207" s="122"/>
    </row>
    <row r="208" spans="1:10" ht="17.100000000000001" customHeight="1" x14ac:dyDescent="0.25">
      <c r="A208" s="1"/>
      <c r="B208" s="166"/>
      <c r="C208" s="201" t="s">
        <v>90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121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91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121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86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92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93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76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94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95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96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141</v>
      </c>
      <c r="F257" s="68" t="s">
        <v>142</v>
      </c>
      <c r="G257" s="68" t="s">
        <v>143</v>
      </c>
      <c r="H257" s="68" t="s">
        <v>144</v>
      </c>
      <c r="I257" s="1"/>
      <c r="J257" s="118"/>
    </row>
    <row r="258" spans="1:10" ht="14.1" customHeight="1" x14ac:dyDescent="0.25">
      <c r="A258" s="70"/>
      <c r="B258" s="81"/>
      <c r="C258" s="90" t="s">
        <v>97</v>
      </c>
      <c r="D258" s="124">
        <v>800</v>
      </c>
      <c r="E258" s="124">
        <f>14.19424</f>
        <v>14.194240000000001</v>
      </c>
      <c r="F258" s="124">
        <f>209.38434</f>
        <v>209.38434000000001</v>
      </c>
      <c r="G258" s="124">
        <f>D258-F258</f>
        <v>590.61565999999993</v>
      </c>
      <c r="H258" s="124">
        <f>127.40234</f>
        <v>127.40234</v>
      </c>
      <c r="I258" s="70"/>
      <c r="J258" s="242"/>
    </row>
    <row r="259" spans="1:10" ht="14.1" customHeight="1" x14ac:dyDescent="0.25">
      <c r="A259" s="1"/>
      <c r="B259" s="252"/>
      <c r="C259" s="90" t="s">
        <v>98</v>
      </c>
      <c r="D259" s="244">
        <v>2494</v>
      </c>
      <c r="E259" s="124">
        <f>30.83036</f>
        <v>30.830359999999999</v>
      </c>
      <c r="F259" s="124">
        <f>564.97944</f>
        <v>564.97943999999995</v>
      </c>
      <c r="G259" s="124">
        <f>D259-F259</f>
        <v>1929.0205599999999</v>
      </c>
      <c r="H259" s="124">
        <f>381.1882</f>
        <v>381.18819999999999</v>
      </c>
      <c r="I259" s="181"/>
      <c r="J259" s="118"/>
    </row>
    <row r="260" spans="1:10" ht="16.5" customHeight="1" x14ac:dyDescent="0.25">
      <c r="A260" s="70"/>
      <c r="B260" s="81"/>
      <c r="C260" s="146" t="s">
        <v>83</v>
      </c>
      <c r="D260" s="244">
        <v>5</v>
      </c>
      <c r="E260" s="168">
        <f>0</f>
        <v>0</v>
      </c>
      <c r="F260" s="168">
        <f>0.6352</f>
        <v>0.63519999999999999</v>
      </c>
      <c r="G260" s="124">
        <f>D260-F260</f>
        <v>4.3647999999999998</v>
      </c>
      <c r="H260" s="168">
        <f>0.9169</f>
        <v>0.91690000000000005</v>
      </c>
      <c r="I260" s="70"/>
      <c r="J260" s="247"/>
    </row>
    <row r="261" spans="1:10" ht="18.75" customHeight="1" x14ac:dyDescent="0.25">
      <c r="A261" s="70"/>
      <c r="B261" s="248"/>
      <c r="C261" s="146" t="s">
        <v>99</v>
      </c>
      <c r="D261" s="220"/>
      <c r="E261" s="168">
        <f>0</f>
        <v>0</v>
      </c>
      <c r="F261" s="168">
        <f>1.62624</f>
        <v>1.6262399999999999</v>
      </c>
      <c r="G261" s="124"/>
      <c r="H261" s="168">
        <f>2.9895</f>
        <v>2.9895</v>
      </c>
      <c r="I261" s="282"/>
      <c r="J261" s="122"/>
    </row>
    <row r="262" spans="1:10" ht="14.1" customHeight="1" x14ac:dyDescent="0.25">
      <c r="A262" s="1"/>
      <c r="B262" s="252"/>
      <c r="C262" s="179" t="s">
        <v>89</v>
      </c>
      <c r="D262" s="6">
        <f>D247</f>
        <v>3299</v>
      </c>
      <c r="E262" s="190">
        <f>SUM(E258:E261)</f>
        <v>45.0246</v>
      </c>
      <c r="F262" s="190">
        <f>SUM(F258:F261)</f>
        <v>776.62522000000001</v>
      </c>
      <c r="G262" s="190">
        <f>D262-F262</f>
        <v>2522.3747800000001</v>
      </c>
      <c r="H262" s="190">
        <f>H258+H259+H260+H261</f>
        <v>512.49694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121</v>
      </c>
    </row>
    <row r="266" spans="1:10" ht="14.1" customHeight="1" x14ac:dyDescent="0.25">
      <c r="A266" s="1" t="s">
        <v>121</v>
      </c>
    </row>
    <row r="267" spans="1:10" ht="14.1" customHeight="1" x14ac:dyDescent="0.25">
      <c r="A267" s="1" t="s">
        <v>121</v>
      </c>
    </row>
    <row r="268" spans="1:10" ht="14.1" customHeight="1" x14ac:dyDescent="0.25">
      <c r="A268" s="1"/>
      <c r="C268" s="152" t="s">
        <v>121</v>
      </c>
    </row>
    <row r="269" spans="1:10" ht="36" customHeight="1" x14ac:dyDescent="0.25">
      <c r="A269" s="1"/>
      <c r="C269" s="152" t="s">
        <v>121</v>
      </c>
    </row>
    <row r="270" spans="1:10" ht="14.1" customHeight="1" x14ac:dyDescent="0.25">
      <c r="A270" s="1"/>
      <c r="C270" s="152" t="s">
        <v>121</v>
      </c>
    </row>
    <row r="271" spans="1:10" ht="14.1" customHeight="1" x14ac:dyDescent="0.25">
      <c r="A271" s="1"/>
      <c r="C271" s="152" t="s">
        <v>121</v>
      </c>
    </row>
    <row r="272" spans="1:10" ht="30" customHeight="1" x14ac:dyDescent="0.35">
      <c r="A272" s="216"/>
      <c r="B272" s="1"/>
      <c r="C272" s="213" t="s">
        <v>100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101</v>
      </c>
      <c r="F275" s="187"/>
      <c r="G275" s="151" t="s">
        <v>102</v>
      </c>
      <c r="H275" s="187"/>
      <c r="I275" s="152"/>
      <c r="J275" s="132"/>
    </row>
    <row r="276" spans="1:10" ht="14.25" customHeight="1" x14ac:dyDescent="0.25">
      <c r="B276" s="74"/>
      <c r="C276" s="257" t="s">
        <v>86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93</v>
      </c>
      <c r="D277" s="46">
        <v>19433</v>
      </c>
      <c r="E277" s="181" t="s">
        <v>98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92</v>
      </c>
      <c r="D278" s="46">
        <v>6186</v>
      </c>
      <c r="E278" s="181" t="s">
        <v>61</v>
      </c>
      <c r="F278" s="49">
        <v>5500</v>
      </c>
      <c r="G278" s="246" t="s">
        <v>103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104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105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122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106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107</v>
      </c>
      <c r="F287" s="221" t="s">
        <v>141</v>
      </c>
      <c r="G287" s="221" t="s">
        <v>142</v>
      </c>
      <c r="H287" s="221" t="s">
        <v>143</v>
      </c>
      <c r="I287" s="221" t="s">
        <v>144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162.22746000000001</v>
      </c>
      <c r="G288" s="251">
        <f t="shared" si="14"/>
        <v>4423.0163200000006</v>
      </c>
      <c r="H288" s="251">
        <f>H292+H291+H290+H289</f>
        <v>11678.983680000001</v>
      </c>
      <c r="I288" s="251">
        <f t="shared" si="14"/>
        <v>2184.5230099999999</v>
      </c>
      <c r="J288" s="132"/>
    </row>
    <row r="289" spans="1:10" ht="14.1" customHeight="1" x14ac:dyDescent="0.25">
      <c r="A289" s="216"/>
      <c r="B289" s="74"/>
      <c r="C289" s="253" t="s">
        <v>108</v>
      </c>
      <c r="D289" s="254">
        <v>6472</v>
      </c>
      <c r="E289" s="254">
        <v>8177</v>
      </c>
      <c r="F289" s="255">
        <f>45.5085</f>
        <v>45.508499999999998</v>
      </c>
      <c r="G289" s="255">
        <f>2008.18667</f>
        <v>2008.18667</v>
      </c>
      <c r="H289" s="255">
        <f t="shared" ref="H289:H293" si="15">E289-G289</f>
        <v>6168.81333</v>
      </c>
      <c r="I289" s="255">
        <f>808.53255</f>
        <v>808.53255000000001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764.7831</f>
        <v>764.78309999999999</v>
      </c>
      <c r="H290" s="255">
        <f t="shared" si="15"/>
        <v>1363.2168999999999</v>
      </c>
      <c r="I290" s="255">
        <f>490.4118</f>
        <v>490.41180000000003</v>
      </c>
      <c r="J290" s="132"/>
    </row>
    <row r="291" spans="1:10" ht="14.1" customHeight="1" x14ac:dyDescent="0.25">
      <c r="A291" s="216"/>
      <c r="B291" s="74"/>
      <c r="C291" s="258" t="s">
        <v>104</v>
      </c>
      <c r="D291" s="254">
        <v>1313</v>
      </c>
      <c r="E291" s="254">
        <v>1357</v>
      </c>
      <c r="F291" s="255">
        <f>34.92096</f>
        <v>34.920960000000001</v>
      </c>
      <c r="G291" s="255">
        <f>1137.07105</f>
        <v>1137.07105</v>
      </c>
      <c r="H291" s="255">
        <f t="shared" si="15"/>
        <v>219.92894999999999</v>
      </c>
      <c r="I291" s="255">
        <f>860.83646</f>
        <v>860.83645999999999</v>
      </c>
      <c r="J291" s="132"/>
    </row>
    <row r="292" spans="1:10" ht="14.1" customHeight="1" x14ac:dyDescent="0.25">
      <c r="A292" s="216"/>
      <c r="B292" s="74"/>
      <c r="C292" s="260" t="s">
        <v>109</v>
      </c>
      <c r="D292" s="261">
        <v>4296</v>
      </c>
      <c r="E292" s="261">
        <v>4440</v>
      </c>
      <c r="F292" s="255">
        <f>81.798</f>
        <v>81.798000000000002</v>
      </c>
      <c r="G292" s="255">
        <f>512.9755</f>
        <v>512.97550000000001</v>
      </c>
      <c r="H292" s="255">
        <f t="shared" si="15"/>
        <v>3927.0245</v>
      </c>
      <c r="I292" s="255">
        <f>24.7422</f>
        <v>24.7422</v>
      </c>
      <c r="J292" s="132"/>
    </row>
    <row r="293" spans="1:10" ht="14.1" customHeight="1" x14ac:dyDescent="0.25">
      <c r="A293" s="216"/>
      <c r="B293" s="74"/>
      <c r="C293" s="263" t="s">
        <v>61</v>
      </c>
      <c r="D293" s="264">
        <v>5500</v>
      </c>
      <c r="E293" s="264">
        <v>5500</v>
      </c>
      <c r="F293" s="266">
        <f>116.20056</f>
        <v>116.20056</v>
      </c>
      <c r="G293" s="266">
        <f>4491.6631</f>
        <v>4491.6630999999998</v>
      </c>
      <c r="H293" s="266">
        <f t="shared" si="15"/>
        <v>1008.3369000000002</v>
      </c>
      <c r="I293" s="266">
        <f>4077.47394</f>
        <v>4077.4739399999999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30.864190000000001</v>
      </c>
      <c r="G294" s="267">
        <f>G296+G295</f>
        <v>1755.49981</v>
      </c>
      <c r="H294" s="267">
        <f>E294-G294</f>
        <v>6244.5001899999997</v>
      </c>
      <c r="I294" s="267">
        <f>I296+I295</f>
        <v>1672.05754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0.2268</f>
        <v>0.2268</v>
      </c>
      <c r="G295" s="255">
        <f>747.13795</f>
        <v>747.13795000000005</v>
      </c>
      <c r="H295" s="255"/>
      <c r="I295" s="255">
        <f>894.11909</f>
        <v>894.11909000000003</v>
      </c>
      <c r="J295" s="132"/>
    </row>
    <row r="296" spans="1:10" ht="14.1" customHeight="1" x14ac:dyDescent="0.25">
      <c r="A296" s="216"/>
      <c r="B296" s="74"/>
      <c r="C296" s="271" t="s">
        <v>110</v>
      </c>
      <c r="D296" s="272"/>
      <c r="E296" s="275"/>
      <c r="F296" s="276">
        <f>30.63739</f>
        <v>30.63739</v>
      </c>
      <c r="G296" s="276">
        <f>1008.36186</f>
        <v>1008.36186</v>
      </c>
      <c r="H296" s="276"/>
      <c r="I296" s="276">
        <f>777.93845</f>
        <v>777.93844999999999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0.0651</f>
        <v>6.5100000000000005E-2</v>
      </c>
      <c r="H297" s="266">
        <f>E297-G297</f>
        <v>9.9349000000000007</v>
      </c>
      <c r="I297" s="266">
        <f>0.1593</f>
        <v>0.1593</v>
      </c>
      <c r="J297" s="132"/>
    </row>
    <row r="298" spans="1:10" ht="14.1" customHeight="1" x14ac:dyDescent="0.25">
      <c r="A298" s="216"/>
      <c r="B298" s="74"/>
      <c r="C298" s="277" t="s">
        <v>111</v>
      </c>
      <c r="D298" s="280"/>
      <c r="E298" s="281"/>
      <c r="F298" s="266">
        <f>7.25188</f>
        <v>7.2518799999999999</v>
      </c>
      <c r="G298" s="266">
        <f>32.43784</f>
        <v>32.437840000000001</v>
      </c>
      <c r="H298" s="266">
        <f>E298-G298</f>
        <v>-32.437840000000001</v>
      </c>
      <c r="I298" s="266">
        <f>24.23259</f>
        <v>24.232589999999998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316.54408999999998</v>
      </c>
      <c r="G299" s="285">
        <f t="shared" si="16"/>
        <v>10702.68217</v>
      </c>
      <c r="H299" s="285">
        <f>H288+H293+H294+H297+H298</f>
        <v>18909.317830000004</v>
      </c>
      <c r="I299" s="285">
        <f t="shared" si="16"/>
        <v>7958.4463799999994</v>
      </c>
      <c r="J299" s="132"/>
    </row>
    <row r="300" spans="1:10" ht="14.1" customHeight="1" x14ac:dyDescent="0.25">
      <c r="A300" s="216"/>
      <c r="B300" s="74"/>
      <c r="C300" s="163" t="s">
        <v>112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123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124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121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121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121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113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114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86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93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76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115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125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116</v>
      </c>
      <c r="D320" s="22" t="s">
        <v>117</v>
      </c>
      <c r="E320" s="20" t="s">
        <v>141</v>
      </c>
      <c r="F320" s="20" t="s">
        <v>142</v>
      </c>
      <c r="G320" s="25" t="s">
        <v>143</v>
      </c>
      <c r="H320" s="20" t="s">
        <v>144</v>
      </c>
      <c r="I320" s="222"/>
      <c r="J320" s="13"/>
    </row>
    <row r="321" spans="1:10" ht="14.1" customHeight="1" x14ac:dyDescent="0.25">
      <c r="A321" s="216"/>
      <c r="B321" s="74"/>
      <c r="C321" s="263" t="s">
        <v>118</v>
      </c>
      <c r="D321" s="10">
        <v>2241</v>
      </c>
      <c r="E321" s="26">
        <f>E323+E322</f>
        <v>0</v>
      </c>
      <c r="F321" s="26">
        <f>F323+F322</f>
        <v>2196.2356300000001</v>
      </c>
      <c r="G321" s="87">
        <f>D321-F321</f>
        <v>44.764369999999872</v>
      </c>
      <c r="H321" s="26">
        <f>SUM(H322:H323)</f>
        <v>1387.8243299999999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0</f>
        <v>0</v>
      </c>
      <c r="F322" s="207">
        <f>1712.96313</f>
        <v>1712.9631300000001</v>
      </c>
      <c r="G322" s="208"/>
      <c r="H322" s="207">
        <f>1082.54115</f>
        <v>1082.54115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0</f>
        <v>0</v>
      </c>
      <c r="F323" s="210">
        <f>483.2725</f>
        <v>483.27249999999998</v>
      </c>
      <c r="G323" s="211"/>
      <c r="H323" s="210">
        <f>305.28318</f>
        <v>305.28318000000002</v>
      </c>
      <c r="I323" s="152"/>
      <c r="J323" s="132"/>
    </row>
    <row r="324" spans="1:10" ht="14.1" customHeight="1" x14ac:dyDescent="0.25">
      <c r="A324" s="216"/>
      <c r="B324" s="74"/>
      <c r="C324" s="263" t="s">
        <v>119</v>
      </c>
      <c r="D324" s="10">
        <v>1120</v>
      </c>
      <c r="E324" s="26">
        <f>SUM(E325:E326)</f>
        <v>74.8476</v>
      </c>
      <c r="F324" s="26">
        <f>SUM(F325:F326)</f>
        <v>444.89918999999998</v>
      </c>
      <c r="G324" s="87">
        <f>D324-F324</f>
        <v>675.10081000000002</v>
      </c>
      <c r="H324" s="26">
        <f>SUM(H325:H326)</f>
        <v>392.55872999999997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56.826</f>
        <v>56.826000000000001</v>
      </c>
      <c r="F325" s="30">
        <f>330.322</f>
        <v>330.322</v>
      </c>
      <c r="G325" s="99"/>
      <c r="H325" s="30">
        <f>301.83306</f>
        <v>301.83305999999999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18.0216</f>
        <v>18.021599999999999</v>
      </c>
      <c r="F326" s="30">
        <f>114.57719</f>
        <v>114.57719</v>
      </c>
      <c r="G326" s="110"/>
      <c r="H326" s="30">
        <f>90.72567</f>
        <v>90.725669999999994</v>
      </c>
      <c r="I326" s="152"/>
      <c r="J326" s="132"/>
    </row>
    <row r="327" spans="1:10" ht="14.1" customHeight="1" x14ac:dyDescent="0.25">
      <c r="A327" s="216"/>
      <c r="B327" s="74"/>
      <c r="C327" s="263" t="s">
        <v>120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99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89</v>
      </c>
      <c r="D331" s="41">
        <f>D321+D324+D327</f>
        <v>3361</v>
      </c>
      <c r="E331" s="42">
        <f>E321+E324+E327+E330</f>
        <v>74.8476</v>
      </c>
      <c r="F331" s="42">
        <f>F321+F324+F327+F330</f>
        <v>2641.1348200000002</v>
      </c>
      <c r="G331" s="43">
        <f>SUM(G321:G330)</f>
        <v>719.8651799999999</v>
      </c>
      <c r="H331" s="42">
        <f>H321+H324+H327+H330</f>
        <v>1780.3830599999999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22&amp;R05.06.2023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2023-06-05T07:17:01Z</dcterms:modified>
</cp:coreProperties>
</file>