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171D68EB-CA89-4DA4-A975-73ED1AC603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ukesstatistikk!$B$1:$J$306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4" i="1" l="1"/>
  <c r="H303" i="1"/>
  <c r="G303" i="1"/>
  <c r="F303" i="1"/>
  <c r="E303" i="1"/>
  <c r="H302" i="1"/>
  <c r="F302" i="1"/>
  <c r="E302" i="1"/>
  <c r="H301" i="1"/>
  <c r="F301" i="1"/>
  <c r="E301" i="1"/>
  <c r="H300" i="1"/>
  <c r="F300" i="1"/>
  <c r="G300" i="1" s="1"/>
  <c r="E300" i="1"/>
  <c r="H299" i="1"/>
  <c r="F299" i="1"/>
  <c r="E299" i="1"/>
  <c r="H298" i="1"/>
  <c r="F298" i="1"/>
  <c r="F297" i="1" s="1"/>
  <c r="G297" i="1" s="1"/>
  <c r="E298" i="1"/>
  <c r="H297" i="1"/>
  <c r="E297" i="1"/>
  <c r="H296" i="1"/>
  <c r="F296" i="1"/>
  <c r="E296" i="1"/>
  <c r="H295" i="1"/>
  <c r="F295" i="1"/>
  <c r="E295" i="1"/>
  <c r="H294" i="1"/>
  <c r="H304" i="1" s="1"/>
  <c r="F294" i="1"/>
  <c r="F304" i="1" s="1"/>
  <c r="G304" i="1" s="1"/>
  <c r="E294" i="1"/>
  <c r="E304" i="1" s="1"/>
  <c r="D273" i="1"/>
  <c r="I272" i="1"/>
  <c r="H272" i="1"/>
  <c r="G272" i="1"/>
  <c r="F272" i="1"/>
  <c r="I271" i="1"/>
  <c r="G271" i="1"/>
  <c r="H271" i="1" s="1"/>
  <c r="F271" i="1"/>
  <c r="I270" i="1"/>
  <c r="I268" i="1" s="1"/>
  <c r="G270" i="1"/>
  <c r="G268" i="1" s="1"/>
  <c r="H268" i="1" s="1"/>
  <c r="F270" i="1"/>
  <c r="I269" i="1"/>
  <c r="G269" i="1"/>
  <c r="F269" i="1"/>
  <c r="F268" i="1"/>
  <c r="I267" i="1"/>
  <c r="G267" i="1"/>
  <c r="H267" i="1" s="1"/>
  <c r="F267" i="1"/>
  <c r="I266" i="1"/>
  <c r="G266" i="1"/>
  <c r="H266" i="1" s="1"/>
  <c r="F266" i="1"/>
  <c r="F262" i="1" s="1"/>
  <c r="F273" i="1" s="1"/>
  <c r="I265" i="1"/>
  <c r="G265" i="1"/>
  <c r="H265" i="1" s="1"/>
  <c r="F265" i="1"/>
  <c r="I264" i="1"/>
  <c r="G264" i="1"/>
  <c r="H264" i="1" s="1"/>
  <c r="F264" i="1"/>
  <c r="I263" i="1"/>
  <c r="G263" i="1"/>
  <c r="H263" i="1" s="1"/>
  <c r="F263" i="1"/>
  <c r="I262" i="1"/>
  <c r="G262" i="1"/>
  <c r="G273" i="1" s="1"/>
  <c r="E262" i="1"/>
  <c r="E273" i="1" s="1"/>
  <c r="D262" i="1"/>
  <c r="H254" i="1"/>
  <c r="F254" i="1"/>
  <c r="D251" i="1"/>
  <c r="D250" i="1"/>
  <c r="E241" i="1"/>
  <c r="D241" i="1"/>
  <c r="H240" i="1"/>
  <c r="G240" i="1"/>
  <c r="F240" i="1"/>
  <c r="E240" i="1"/>
  <c r="H239" i="1"/>
  <c r="F239" i="1"/>
  <c r="G239" i="1" s="1"/>
  <c r="E239" i="1"/>
  <c r="H238" i="1"/>
  <c r="G238" i="1"/>
  <c r="F238" i="1"/>
  <c r="E238" i="1"/>
  <c r="H237" i="1"/>
  <c r="H241" i="1" s="1"/>
  <c r="F237" i="1"/>
  <c r="F241" i="1" s="1"/>
  <c r="G241" i="1" s="1"/>
  <c r="E237" i="1"/>
  <c r="D230" i="1"/>
  <c r="D219" i="1"/>
  <c r="H218" i="1"/>
  <c r="H219" i="1" s="1"/>
  <c r="F218" i="1"/>
  <c r="G218" i="1" s="1"/>
  <c r="E218" i="1"/>
  <c r="H217" i="1"/>
  <c r="F217" i="1"/>
  <c r="E217" i="1"/>
  <c r="E215" i="1" s="1"/>
  <c r="E219" i="1" s="1"/>
  <c r="H216" i="1"/>
  <c r="F216" i="1"/>
  <c r="F215" i="1" s="1"/>
  <c r="E216" i="1"/>
  <c r="H215" i="1"/>
  <c r="H206" i="1"/>
  <c r="D206" i="1"/>
  <c r="H205" i="1"/>
  <c r="F205" i="1"/>
  <c r="G205" i="1" s="1"/>
  <c r="E205" i="1"/>
  <c r="H204" i="1"/>
  <c r="F204" i="1"/>
  <c r="E204" i="1"/>
  <c r="H203" i="1"/>
  <c r="F203" i="1"/>
  <c r="F202" i="1" s="1"/>
  <c r="E203" i="1"/>
  <c r="H202" i="1"/>
  <c r="E202" i="1"/>
  <c r="E206" i="1" s="1"/>
  <c r="E192" i="1"/>
  <c r="D192" i="1"/>
  <c r="H192" i="1" s="1"/>
  <c r="I191" i="1"/>
  <c r="H191" i="1"/>
  <c r="G191" i="1"/>
  <c r="F191" i="1"/>
  <c r="I190" i="1"/>
  <c r="I192" i="1" s="1"/>
  <c r="G190" i="1"/>
  <c r="H190" i="1" s="1"/>
  <c r="F190" i="1"/>
  <c r="I189" i="1"/>
  <c r="H189" i="1"/>
  <c r="G189" i="1"/>
  <c r="G192" i="1" s="1"/>
  <c r="F189" i="1"/>
  <c r="F192" i="1" s="1"/>
  <c r="D169" i="1"/>
  <c r="H168" i="1"/>
  <c r="G168" i="1"/>
  <c r="F168" i="1"/>
  <c r="E168" i="1"/>
  <c r="H167" i="1"/>
  <c r="F167" i="1"/>
  <c r="G167" i="1" s="1"/>
  <c r="E167" i="1"/>
  <c r="H166" i="1"/>
  <c r="F166" i="1"/>
  <c r="F163" i="1" s="1"/>
  <c r="G163" i="1" s="1"/>
  <c r="E166" i="1"/>
  <c r="H165" i="1"/>
  <c r="F165" i="1"/>
  <c r="E165" i="1"/>
  <c r="H164" i="1"/>
  <c r="H163" i="1" s="1"/>
  <c r="F164" i="1"/>
  <c r="E164" i="1"/>
  <c r="E163" i="1" s="1"/>
  <c r="E169" i="1" s="1"/>
  <c r="H162" i="1"/>
  <c r="G162" i="1"/>
  <c r="F162" i="1"/>
  <c r="E162" i="1"/>
  <c r="H161" i="1"/>
  <c r="H169" i="1" s="1"/>
  <c r="F161" i="1"/>
  <c r="E161" i="1"/>
  <c r="H160" i="1"/>
  <c r="F160" i="1"/>
  <c r="G160" i="1" s="1"/>
  <c r="E160" i="1"/>
  <c r="I135" i="1"/>
  <c r="G135" i="1"/>
  <c r="H135" i="1" s="1"/>
  <c r="F135" i="1"/>
  <c r="I134" i="1"/>
  <c r="H134" i="1"/>
  <c r="G134" i="1"/>
  <c r="F134" i="1"/>
  <c r="H133" i="1"/>
  <c r="I132" i="1"/>
  <c r="H132" i="1"/>
  <c r="G132" i="1"/>
  <c r="F132" i="1"/>
  <c r="I131" i="1"/>
  <c r="G131" i="1"/>
  <c r="H131" i="1" s="1"/>
  <c r="F131" i="1"/>
  <c r="I130" i="1"/>
  <c r="H130" i="1"/>
  <c r="G130" i="1"/>
  <c r="F130" i="1"/>
  <c r="I129" i="1"/>
  <c r="G129" i="1"/>
  <c r="H129" i="1" s="1"/>
  <c r="F129" i="1"/>
  <c r="I128" i="1"/>
  <c r="H128" i="1"/>
  <c r="G128" i="1"/>
  <c r="F128" i="1"/>
  <c r="I127" i="1"/>
  <c r="I126" i="1" s="1"/>
  <c r="G127" i="1"/>
  <c r="G126" i="1" s="1"/>
  <c r="F127" i="1"/>
  <c r="F126" i="1" s="1"/>
  <c r="F120" i="1" s="1"/>
  <c r="E126" i="1"/>
  <c r="D126" i="1"/>
  <c r="I125" i="1"/>
  <c r="I121" i="1" s="1"/>
  <c r="I120" i="1" s="1"/>
  <c r="H125" i="1"/>
  <c r="G125" i="1"/>
  <c r="F125" i="1"/>
  <c r="I124" i="1"/>
  <c r="G124" i="1"/>
  <c r="H124" i="1" s="1"/>
  <c r="F124" i="1"/>
  <c r="I123" i="1"/>
  <c r="H123" i="1"/>
  <c r="G123" i="1"/>
  <c r="F123" i="1"/>
  <c r="I122" i="1"/>
  <c r="G122" i="1"/>
  <c r="H122" i="1" s="1"/>
  <c r="F122" i="1"/>
  <c r="F121" i="1"/>
  <c r="E121" i="1"/>
  <c r="E120" i="1" s="1"/>
  <c r="D121" i="1"/>
  <c r="D120" i="1"/>
  <c r="I119" i="1"/>
  <c r="G119" i="1"/>
  <c r="H119" i="1" s="1"/>
  <c r="F119" i="1"/>
  <c r="I118" i="1"/>
  <c r="H118" i="1"/>
  <c r="G118" i="1"/>
  <c r="F118" i="1"/>
  <c r="I117" i="1"/>
  <c r="G117" i="1"/>
  <c r="H117" i="1" s="1"/>
  <c r="F117" i="1"/>
  <c r="I116" i="1"/>
  <c r="I115" i="1" s="1"/>
  <c r="H116" i="1"/>
  <c r="G116" i="1"/>
  <c r="F116" i="1"/>
  <c r="F115" i="1" s="1"/>
  <c r="F137" i="1" s="1"/>
  <c r="G115" i="1"/>
  <c r="E115" i="1"/>
  <c r="E137" i="1" s="1"/>
  <c r="D115" i="1"/>
  <c r="D137" i="1" s="1"/>
  <c r="C113" i="1"/>
  <c r="D94" i="1"/>
  <c r="I93" i="1"/>
  <c r="G93" i="1"/>
  <c r="H93" i="1" s="1"/>
  <c r="F93" i="1"/>
  <c r="I92" i="1"/>
  <c r="H92" i="1"/>
  <c r="G92" i="1"/>
  <c r="F92" i="1"/>
  <c r="I91" i="1"/>
  <c r="G91" i="1"/>
  <c r="H91" i="1" s="1"/>
  <c r="F91" i="1"/>
  <c r="I90" i="1"/>
  <c r="H90" i="1"/>
  <c r="G90" i="1"/>
  <c r="F90" i="1"/>
  <c r="I89" i="1"/>
  <c r="G89" i="1"/>
  <c r="H89" i="1" s="1"/>
  <c r="F89" i="1"/>
  <c r="I88" i="1"/>
  <c r="H88" i="1"/>
  <c r="G88" i="1"/>
  <c r="F88" i="1"/>
  <c r="I87" i="1"/>
  <c r="G87" i="1"/>
  <c r="H87" i="1" s="1"/>
  <c r="F87" i="1"/>
  <c r="I86" i="1"/>
  <c r="H86" i="1"/>
  <c r="G86" i="1"/>
  <c r="F86" i="1"/>
  <c r="I85" i="1"/>
  <c r="G85" i="1"/>
  <c r="H85" i="1" s="1"/>
  <c r="F85" i="1"/>
  <c r="I84" i="1"/>
  <c r="H84" i="1"/>
  <c r="G84" i="1"/>
  <c r="F84" i="1"/>
  <c r="F83" i="1" s="1"/>
  <c r="F82" i="1" s="1"/>
  <c r="I83" i="1"/>
  <c r="I82" i="1" s="1"/>
  <c r="G83" i="1"/>
  <c r="E83" i="1"/>
  <c r="D83" i="1"/>
  <c r="G82" i="1"/>
  <c r="E82" i="1"/>
  <c r="D82" i="1"/>
  <c r="I81" i="1"/>
  <c r="H81" i="1"/>
  <c r="G81" i="1"/>
  <c r="F81" i="1"/>
  <c r="F79" i="1" s="1"/>
  <c r="F94" i="1" s="1"/>
  <c r="I80" i="1"/>
  <c r="I79" i="1" s="1"/>
  <c r="G80" i="1"/>
  <c r="G79" i="1" s="1"/>
  <c r="G94" i="1" s="1"/>
  <c r="F80" i="1"/>
  <c r="E79" i="1"/>
  <c r="E94" i="1" s="1"/>
  <c r="D79" i="1"/>
  <c r="C76" i="1"/>
  <c r="H72" i="1"/>
  <c r="F72" i="1"/>
  <c r="D72" i="1"/>
  <c r="H58" i="1"/>
  <c r="H57" i="1"/>
  <c r="I52" i="1"/>
  <c r="I31" i="1" s="1"/>
  <c r="G52" i="1"/>
  <c r="G31" i="1" s="1"/>
  <c r="F52" i="1"/>
  <c r="I41" i="1"/>
  <c r="H41" i="1"/>
  <c r="G41" i="1"/>
  <c r="F41" i="1"/>
  <c r="I40" i="1"/>
  <c r="G40" i="1"/>
  <c r="H40" i="1" s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H35" i="1"/>
  <c r="G35" i="1"/>
  <c r="F35" i="1"/>
  <c r="I34" i="1"/>
  <c r="G34" i="1"/>
  <c r="G33" i="1" s="1"/>
  <c r="F34" i="1"/>
  <c r="I33" i="1"/>
  <c r="F33" i="1"/>
  <c r="E33" i="1"/>
  <c r="D33" i="1"/>
  <c r="D25" i="1" s="1"/>
  <c r="I32" i="1"/>
  <c r="G32" i="1"/>
  <c r="H32" i="1" s="1"/>
  <c r="F32" i="1"/>
  <c r="F31" i="1"/>
  <c r="I30" i="1"/>
  <c r="G30" i="1"/>
  <c r="H30" i="1" s="1"/>
  <c r="F30" i="1"/>
  <c r="I29" i="1"/>
  <c r="H29" i="1"/>
  <c r="G29" i="1"/>
  <c r="F29" i="1"/>
  <c r="I28" i="1"/>
  <c r="G28" i="1"/>
  <c r="H28" i="1" s="1"/>
  <c r="F28" i="1"/>
  <c r="I27" i="1"/>
  <c r="H27" i="1"/>
  <c r="G27" i="1"/>
  <c r="F27" i="1"/>
  <c r="E26" i="1"/>
  <c r="D26" i="1"/>
  <c r="E25" i="1"/>
  <c r="I24" i="1"/>
  <c r="H24" i="1"/>
  <c r="G24" i="1"/>
  <c r="F24" i="1"/>
  <c r="I23" i="1"/>
  <c r="I22" i="1" s="1"/>
  <c r="G23" i="1"/>
  <c r="G22" i="1" s="1"/>
  <c r="F23" i="1"/>
  <c r="F22" i="1"/>
  <c r="E22" i="1"/>
  <c r="E42" i="1" s="1"/>
  <c r="D22" i="1"/>
  <c r="H16" i="1"/>
  <c r="F16" i="1"/>
  <c r="D16" i="1"/>
  <c r="I26" i="1" l="1"/>
  <c r="I25" i="1" s="1"/>
  <c r="I42" i="1" s="1"/>
  <c r="F26" i="1"/>
  <c r="F25" i="1" s="1"/>
  <c r="F42" i="1" s="1"/>
  <c r="I273" i="1"/>
  <c r="H26" i="1"/>
  <c r="H22" i="1"/>
  <c r="H83" i="1"/>
  <c r="H82" i="1" s="1"/>
  <c r="H115" i="1"/>
  <c r="H137" i="1" s="1"/>
  <c r="G202" i="1"/>
  <c r="F206" i="1"/>
  <c r="G206" i="1"/>
  <c r="H262" i="1"/>
  <c r="H273" i="1" s="1"/>
  <c r="F219" i="1"/>
  <c r="G215" i="1"/>
  <c r="G219" i="1"/>
  <c r="D42" i="1"/>
  <c r="H31" i="1"/>
  <c r="G26" i="1"/>
  <c r="G25" i="1" s="1"/>
  <c r="G42" i="1" s="1"/>
  <c r="I137" i="1"/>
  <c r="H121" i="1"/>
  <c r="H120" i="1" s="1"/>
  <c r="H33" i="1"/>
  <c r="H25" i="1" s="1"/>
  <c r="I94" i="1"/>
  <c r="H23" i="1"/>
  <c r="H52" i="1"/>
  <c r="H80" i="1"/>
  <c r="H79" i="1" s="1"/>
  <c r="G121" i="1"/>
  <c r="G120" i="1" s="1"/>
  <c r="G137" i="1" s="1"/>
  <c r="G237" i="1"/>
  <c r="H34" i="1"/>
  <c r="F169" i="1"/>
  <c r="G169" i="1" s="1"/>
  <c r="H127" i="1"/>
  <c r="H126" i="1" s="1"/>
  <c r="G294" i="1"/>
  <c r="H42" i="1" l="1"/>
  <c r="H94" i="1"/>
</calcChain>
</file>

<file path=xl/sharedStrings.xml><?xml version="1.0" encoding="utf-8"?>
<sst xmlns="http://schemas.openxmlformats.org/spreadsheetml/2006/main" count="351" uniqueCount="154">
  <si>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</si>
  <si>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</si>
  <si>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</si>
  <si>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</si>
  <si>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</si>
  <si>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</si>
  <si>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</si>
  <si>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</si>
  <si>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</si>
  <si>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</si>
  <si>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</si>
  <si>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</si>
  <si>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</si>
  <si>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</si>
  <si>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</si>
  <si>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</si>
  <si>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</si>
  <si>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</si>
  <si>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</si>
  <si>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</si>
  <si>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</si>
  <si>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</si>
  <si>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</si>
  <si>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</si>
  <si>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</si>
  <si>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</si>
  <si>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</si>
  <si>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</si>
  <si>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</si>
  <si>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</si>
  <si>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</si>
  <si>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</si>
  <si>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</si>
  <si>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</si>
  <si>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</si>
  <si>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</si>
  <si>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</si>
  <si>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</si>
  <si>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</si>
  <si>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</si>
  <si>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</si>
  <si>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</si>
  <si>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</si>
  <si>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</si>
  <si>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</si>
  <si>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</si>
  <si>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</si>
  <si>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</si>
  <si>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</si>
  <si>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</si>
  <si>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</si>
  <si>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</si>
  <si>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</si>
  <si>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</si>
  <si>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</si>
  <si>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</si>
  <si>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</si>
  <si>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</si>
  <si>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</si>
  <si>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</si>
  <si>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</si>
  <si>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</si>
  <si>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</si>
  <si>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</si>
  <si>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</si>
  <si>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</si>
  <si>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</si>
  <si>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</si>
  <si>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</si>
  <si>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</si>
  <si>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</si>
  <si>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</si>
  <si>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</si>
  <si>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</si>
  <si>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</si>
  <si>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</si>
  <si>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</si>
  <si>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</si>
  <si>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</si>
  <si>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</si>
  <si>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</si>
  <si>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</si>
  <si>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</si>
  <si>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</si>
  <si>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</si>
  <si>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</si>
  <si>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</si>
  <si>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</si>
  <si>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</si>
  <si>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</si>
  <si>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</si>
  <si>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</si>
  <si>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</si>
  <si>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</si>
  <si>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</si>
  <si>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</si>
  <si>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</si>
  <si>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</si>
  <si>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</si>
  <si>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</si>
  <si>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</si>
  <si>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</si>
  <si>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</si>
  <si>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</si>
  <si>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</si>
  <si>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</si>
  <si>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</si>
  <si>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</si>
  <si>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</si>
  <si>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</si>
  <si>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</si>
  <si>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</si>
  <si>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</si>
  <si>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</si>
  <si>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</si>
  <si>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</si>
  <si>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</si>
  <si>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</si>
  <si>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</si>
  <si>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</si>
  <si>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</si>
  <si>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</si>
  <si>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</si>
  <si>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</si>
  <si>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</si>
  <si>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</si>
  <si>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</si>
  <si>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</si>
  <si>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</si>
  <si>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</si>
  <si>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</si>
  <si>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2024, disse vil være ferdigstilt ila februar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</si>
  <si>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</si>
  <si>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</si>
  <si>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</si>
  <si>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</si>
  <si>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</si>
  <si>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</si>
  <si>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</si>
  <si>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</si>
  <si>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</si>
  <si>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</si>
  <si>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</si>
  <si>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</si>
  <si>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</si>
  <si>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</si>
  <si>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2 Registrert rekreasjonsfiske utgjør 23 tonn, men det legges til grunn at hele avsetningen tas</t>
  </si>
  <si>
    <t>4 Registrert rekreasjonsfiske utgjør 81 tonn, men det legges til grunn at hele avsetningen tas</t>
  </si>
  <si>
    <t>3 Registrert rekreasjonsfiske utgjør 276 tonn, men det legges til grunn at hele avsetningen tas</t>
  </si>
  <si>
    <t>FANGST UKE 13</t>
  </si>
  <si>
    <t>FANGST T.O.M UKE 13</t>
  </si>
  <si>
    <t>RESTKVOTER UKE 13</t>
  </si>
  <si>
    <t>FANGST T.O.M UKE 13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</si>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</sst>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8"/>
      <color theme="1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28" fillId="0" borderId="0" xfId="0" applyFont="1"/>
    <xf numFmtId="0" fontId="29" fillId="0" borderId="6" xfId="0" applyFont="1" applyBorder="1" applyAlignment="1">
      <alignment vertical="center"/>
    </xf>
    <xf numFmtId="3" fontId="7" fillId="0" borderId="44" xfId="0" applyNumberFormat="1" applyFont="1" applyBorder="1" applyAlignment="1">
      <alignment horizontal="right" vertical="center"/>
    </xf>
    <xf numFmtId="3" fontId="1" fillId="0" borderId="36" xfId="0" applyNumberFormat="1" applyFont="1" applyBorder="1" applyAlignment="1">
      <alignment horizontal="right" vertical="center" indent="1"/>
    </xf>
    <xf numFmtId="0" fontId="2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50" xfId="0" applyNumberFormat="1" applyFont="1" applyBorder="1" applyAlignment="1">
      <alignment horizontal="right" vertical="center" wrapText="1"/>
    </xf>
    <xf numFmtId="3" fontId="17" fillId="0" borderId="50" xfId="0" applyNumberFormat="1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50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9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491"/>
  <sheetViews>
    <sheetView showGridLines="0" tabSelected="1" showRuler="0" topLeftCell="A128" zoomScale="101" zoomScaleNormal="55" zoomScaleSheetLayoutView="100" zoomScalePageLayoutView="85" workbookViewId="0">
      <selection activeCell="I143" sqref="I143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02" t="s">
        <v>123</v>
      </c>
      <c r="C2" s="303"/>
      <c r="D2" s="303"/>
      <c r="E2" s="303"/>
      <c r="F2" s="303"/>
      <c r="G2" s="303"/>
      <c r="H2" s="303"/>
      <c r="I2" s="303"/>
      <c r="J2" s="304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20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05"/>
      <c r="C9" s="306"/>
      <c r="D9" s="306"/>
      <c r="E9" s="306"/>
      <c r="F9" s="306"/>
      <c r="G9" s="306"/>
      <c r="H9" s="306"/>
      <c r="I9" s="306"/>
      <c r="J9" s="307"/>
    </row>
    <row r="10" spans="1:10" ht="12" customHeight="1" x14ac:dyDescent="0.35">
      <c r="A10" s="1"/>
      <c r="B10" s="255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297" t="s">
        <v>1</v>
      </c>
      <c r="D11" s="298"/>
      <c r="E11" s="297" t="s">
        <v>2</v>
      </c>
      <c r="F11" s="298"/>
      <c r="G11" s="297" t="s">
        <v>3</v>
      </c>
      <c r="H11" s="298"/>
      <c r="I11" s="173"/>
      <c r="J11" s="245"/>
    </row>
    <row r="12" spans="1:10" ht="14.15" customHeight="1" x14ac:dyDescent="0.35">
      <c r="A12" s="1"/>
      <c r="B12" s="255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45"/>
    </row>
    <row r="13" spans="1:10" ht="15.75" customHeight="1" x14ac:dyDescent="0.35">
      <c r="A13" s="1"/>
      <c r="B13" s="255"/>
      <c r="C13" s="110" t="s">
        <v>83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45"/>
    </row>
    <row r="14" spans="1:10" ht="14.25" customHeight="1" x14ac:dyDescent="0.35">
      <c r="A14" s="1"/>
      <c r="B14" s="255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45"/>
    </row>
    <row r="15" spans="1:10" ht="15.75" customHeight="1" x14ac:dyDescent="0.35">
      <c r="A15" s="1"/>
      <c r="B15" s="255"/>
      <c r="C15" s="110" t="s">
        <v>73</v>
      </c>
      <c r="D15" s="114">
        <v>46128</v>
      </c>
      <c r="E15" s="161"/>
      <c r="F15" s="214"/>
      <c r="G15" s="161" t="s">
        <v>12</v>
      </c>
      <c r="H15" s="214">
        <v>8832</v>
      </c>
      <c r="I15" s="173"/>
      <c r="J15" s="245"/>
    </row>
    <row r="16" spans="1:10" ht="14.15" customHeight="1" x14ac:dyDescent="0.35">
      <c r="A16" s="1"/>
      <c r="B16" s="255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45"/>
    </row>
    <row r="17" spans="1:10" x14ac:dyDescent="0.35">
      <c r="A17" s="101"/>
      <c r="B17" s="24"/>
      <c r="C17" s="301" t="s">
        <v>144</v>
      </c>
      <c r="D17" s="301"/>
      <c r="E17" s="301"/>
      <c r="F17" s="301"/>
      <c r="G17" s="301"/>
      <c r="H17" s="301"/>
      <c r="I17" s="101"/>
      <c r="J17" s="157"/>
    </row>
    <row r="18" spans="1:10" ht="15" customHeight="1" x14ac:dyDescent="0.35">
      <c r="A18" s="1"/>
      <c r="B18" s="255"/>
      <c r="C18" s="216"/>
      <c r="D18" s="216"/>
      <c r="E18" s="217"/>
      <c r="F18" s="216"/>
      <c r="G18" s="216"/>
      <c r="H18" s="216"/>
      <c r="I18" s="216"/>
      <c r="J18" s="290"/>
    </row>
    <row r="19" spans="1:10" ht="15" customHeight="1" x14ac:dyDescent="0.35">
      <c r="A19" s="1"/>
      <c r="B19" s="255"/>
      <c r="C19" s="17" t="s">
        <v>15</v>
      </c>
      <c r="D19" s="216"/>
      <c r="E19" s="217"/>
      <c r="F19" s="216"/>
      <c r="G19" s="216"/>
      <c r="H19" s="196"/>
      <c r="I19" s="216"/>
      <c r="J19" s="290"/>
    </row>
    <row r="20" spans="1:10" ht="12" customHeight="1" x14ac:dyDescent="0.35">
      <c r="A20" s="1"/>
      <c r="B20" s="255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149</v>
      </c>
      <c r="G21" s="68" t="s">
        <v>150</v>
      </c>
      <c r="H21" s="68" t="s">
        <v>151</v>
      </c>
      <c r="I21" s="68" t="s">
        <v>152</v>
      </c>
      <c r="J21" s="279"/>
    </row>
    <row r="22" spans="1:10" ht="14.15" customHeight="1" x14ac:dyDescent="0.35">
      <c r="A22" s="1"/>
      <c r="B22" s="255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201.16499999999999</v>
      </c>
      <c r="G22" s="27">
        <f t="shared" si="0"/>
        <v>11133.547630000001</v>
      </c>
      <c r="H22" s="10">
        <f t="shared" si="0"/>
        <v>30452.452370000003</v>
      </c>
      <c r="I22" s="10">
        <f t="shared" si="0"/>
        <v>26475.825370000002</v>
      </c>
      <c r="J22" s="245"/>
    </row>
    <row r="23" spans="1:10" ht="14.15" customHeight="1" x14ac:dyDescent="0.35">
      <c r="A23" s="1"/>
      <c r="B23" s="255"/>
      <c r="C23" s="43" t="s">
        <v>20</v>
      </c>
      <c r="D23" s="44">
        <v>38040</v>
      </c>
      <c r="E23" s="44">
        <v>40823</v>
      </c>
      <c r="F23" s="22">
        <f>201.165</f>
        <v>201.16499999999999</v>
      </c>
      <c r="G23" s="22">
        <f>10998.78763</f>
        <v>10998.787630000001</v>
      </c>
      <c r="H23" s="22">
        <f>E23-G23</f>
        <v>29824.212370000001</v>
      </c>
      <c r="I23" s="22">
        <f>26086.72879</f>
        <v>26086.728790000001</v>
      </c>
      <c r="J23" s="245"/>
    </row>
    <row r="24" spans="1:10" ht="14.15" customHeight="1" x14ac:dyDescent="0.35">
      <c r="A24" s="1"/>
      <c r="B24" s="255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134.76</f>
        <v>134.76</v>
      </c>
      <c r="H24" s="22">
        <f>E24-G24</f>
        <v>628.24</v>
      </c>
      <c r="I24" s="22">
        <f>389.09658</f>
        <v>389.09658000000002</v>
      </c>
      <c r="J24" s="245"/>
    </row>
    <row r="25" spans="1:10" ht="14.15" customHeight="1" x14ac:dyDescent="0.35">
      <c r="A25" s="1"/>
      <c r="B25" s="255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10913.10304</v>
      </c>
      <c r="G25" s="10">
        <f t="shared" si="1"/>
        <v>69444.923300000009</v>
      </c>
      <c r="H25" s="10">
        <f t="shared" si="1"/>
        <v>52223.076699999998</v>
      </c>
      <c r="I25" s="10">
        <f t="shared" si="1"/>
        <v>90727.242809999996</v>
      </c>
      <c r="J25" s="245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8506.4804299999996</v>
      </c>
      <c r="G26" s="129">
        <f>G27+G28+G29+G30+G31</f>
        <v>57505.056120000008</v>
      </c>
      <c r="H26" s="129">
        <f t="shared" ref="H26:I26" si="2">H27+H28+H29+H30+H31</f>
        <v>37387.943879999999</v>
      </c>
      <c r="I26" s="129">
        <f t="shared" si="2"/>
        <v>76231.447400000005</v>
      </c>
      <c r="J26" s="245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3163.86308 - F55</f>
        <v>3163.8630800000001</v>
      </c>
      <c r="G27" s="123">
        <f>15361.43734 - G55</f>
        <v>15361.43734</v>
      </c>
      <c r="H27" s="123">
        <f t="shared" ref="H27:H39" si="3">E27-G27</f>
        <v>9791.5626599999996</v>
      </c>
      <c r="I27" s="123">
        <f>19843.96151 - I55</f>
        <v>19843.961510000001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2575.32631 - F56</f>
        <v>2575.3263099999999</v>
      </c>
      <c r="G28" s="123">
        <f>16992.62457 - G56</f>
        <v>16992.62457</v>
      </c>
      <c r="H28" s="123">
        <f t="shared" si="3"/>
        <v>7001.3754300000001</v>
      </c>
      <c r="I28" s="123">
        <f>22770.54947 - I56</f>
        <v>22770.549470000002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1992.40648 - F57</f>
        <v>1992.4064800000001</v>
      </c>
      <c r="G29" s="123">
        <f>15108.6676 - G57</f>
        <v>15108.667600000001</v>
      </c>
      <c r="H29" s="123">
        <f t="shared" si="3"/>
        <v>6761.3323999999993</v>
      </c>
      <c r="I29" s="123">
        <f>19596.9805 - I57</f>
        <v>19596.980500000001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1010.88456 - F58</f>
        <v>774.88455999999996</v>
      </c>
      <c r="G30" s="123">
        <f>10841.32661 - G58</f>
        <v>10042.32661</v>
      </c>
      <c r="H30" s="123">
        <f t="shared" si="3"/>
        <v>5602.6733899999999</v>
      </c>
      <c r="I30" s="123">
        <f>15197.95592 - I58</f>
        <v>14019.95592</v>
      </c>
      <c r="J30" s="63"/>
    </row>
    <row r="31" spans="1:10" ht="14.15" customHeight="1" x14ac:dyDescent="0.35">
      <c r="A31" s="192"/>
      <c r="B31" s="176"/>
      <c r="C31" s="60" t="s">
        <v>28</v>
      </c>
      <c r="D31" s="61">
        <v>7872</v>
      </c>
      <c r="E31" s="61">
        <v>8231</v>
      </c>
      <c r="F31" s="123">
        <f>F52</f>
        <v>0</v>
      </c>
      <c r="G31" s="123">
        <f>G52</f>
        <v>0</v>
      </c>
      <c r="H31" s="123">
        <f>E31-G31</f>
        <v>8231</v>
      </c>
      <c r="I31" s="123">
        <f>I52</f>
        <v>0</v>
      </c>
      <c r="J31" s="63"/>
    </row>
    <row r="32" spans="1:10" ht="14.15" customHeight="1" x14ac:dyDescent="0.35">
      <c r="A32" s="64"/>
      <c r="B32" s="51"/>
      <c r="C32" s="54" t="s">
        <v>29</v>
      </c>
      <c r="D32" s="55">
        <v>12692</v>
      </c>
      <c r="E32" s="55">
        <v>13679</v>
      </c>
      <c r="F32" s="129">
        <f>575.18624</f>
        <v>575.18624</v>
      </c>
      <c r="G32" s="129">
        <f>4447.65431</f>
        <v>4447.6543099999999</v>
      </c>
      <c r="H32" s="129">
        <f t="shared" si="3"/>
        <v>9231.3456900000001</v>
      </c>
      <c r="I32" s="129">
        <f>5612.172</f>
        <v>5612.1719999999996</v>
      </c>
      <c r="J32" s="63"/>
    </row>
    <row r="33" spans="1:10" ht="14.15" customHeight="1" x14ac:dyDescent="0.35">
      <c r="A33" s="64"/>
      <c r="B33" s="51"/>
      <c r="C33" s="54" t="s">
        <v>30</v>
      </c>
      <c r="D33" s="55">
        <f>D34+D35</f>
        <v>10834</v>
      </c>
      <c r="E33" s="55">
        <f>E34+E35</f>
        <v>13096</v>
      </c>
      <c r="F33" s="129">
        <f>F34+F35</f>
        <v>1831.4363699999999</v>
      </c>
      <c r="G33" s="129">
        <f>G34+G35</f>
        <v>7492.2128700000003</v>
      </c>
      <c r="H33" s="129">
        <f t="shared" si="3"/>
        <v>5603.7871299999997</v>
      </c>
      <c r="I33" s="129">
        <f>I34+I35</f>
        <v>8883.6234100000001</v>
      </c>
      <c r="J33" s="63"/>
    </row>
    <row r="34" spans="1:10" ht="14.15" customHeight="1" x14ac:dyDescent="0.35">
      <c r="A34" s="192"/>
      <c r="B34" s="176"/>
      <c r="C34" s="60" t="s">
        <v>31</v>
      </c>
      <c r="D34" s="61">
        <v>9874</v>
      </c>
      <c r="E34" s="61">
        <v>12136</v>
      </c>
      <c r="F34" s="123">
        <f>1831.43637 - F59 - F60</f>
        <v>1831.4363699999999</v>
      </c>
      <c r="G34" s="129">
        <f>7492.21287 - G59 - G60</f>
        <v>7492.2128700000003</v>
      </c>
      <c r="H34" s="123">
        <f t="shared" si="3"/>
        <v>4643.7871299999997</v>
      </c>
      <c r="I34" s="123">
        <f>8883.62341 - I59 - I60</f>
        <v>8883.6234100000001</v>
      </c>
      <c r="J34" s="63"/>
    </row>
    <row r="35" spans="1:10" ht="14.15" customHeight="1" x14ac:dyDescent="0.35">
      <c r="A35" s="192"/>
      <c r="B35" s="176"/>
      <c r="C35" s="66" t="s">
        <v>32</v>
      </c>
      <c r="D35" s="219">
        <v>960</v>
      </c>
      <c r="E35" s="219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0</v>
      </c>
      <c r="J35" s="63"/>
    </row>
    <row r="36" spans="1:10" ht="15.75" customHeight="1" x14ac:dyDescent="0.35">
      <c r="A36" s="1"/>
      <c r="B36" s="255"/>
      <c r="C36" s="70" t="s">
        <v>33</v>
      </c>
      <c r="D36" s="140">
        <v>1000</v>
      </c>
      <c r="E36" s="140">
        <v>1000</v>
      </c>
      <c r="F36" s="136">
        <f>5.5892</f>
        <v>5.5891999999999999</v>
      </c>
      <c r="G36" s="136">
        <f>94.2006</f>
        <v>94.200599999999994</v>
      </c>
      <c r="H36" s="136">
        <f t="shared" si="3"/>
        <v>905.79939999999999</v>
      </c>
      <c r="I36" s="136">
        <f>192.2708</f>
        <v>192.27080000000001</v>
      </c>
      <c r="J36" s="245"/>
    </row>
    <row r="37" spans="1:10" ht="14.15" customHeight="1" x14ac:dyDescent="0.35">
      <c r="A37" s="1"/>
      <c r="B37" s="255"/>
      <c r="C37" s="70" t="s">
        <v>34</v>
      </c>
      <c r="D37" s="140">
        <v>855</v>
      </c>
      <c r="E37" s="140">
        <v>855</v>
      </c>
      <c r="F37" s="95">
        <f>44.24115</f>
        <v>44.241149999999998</v>
      </c>
      <c r="G37" s="95">
        <f>365.0725</f>
        <v>365.07249999999999</v>
      </c>
      <c r="H37" s="95">
        <f t="shared" si="3"/>
        <v>489.92750000000001</v>
      </c>
      <c r="I37" s="95">
        <f>355.81284</f>
        <v>355.81283999999999</v>
      </c>
      <c r="J37" s="245"/>
    </row>
    <row r="38" spans="1:10" ht="17.25" customHeight="1" x14ac:dyDescent="0.35">
      <c r="A38" s="1"/>
      <c r="B38" s="255"/>
      <c r="C38" s="70" t="s">
        <v>35</v>
      </c>
      <c r="D38" s="140">
        <v>3000</v>
      </c>
      <c r="E38" s="140">
        <v>3000</v>
      </c>
      <c r="F38" s="95">
        <f>F58</f>
        <v>236</v>
      </c>
      <c r="G38" s="95">
        <f>G58</f>
        <v>799</v>
      </c>
      <c r="H38" s="95">
        <f t="shared" si="3"/>
        <v>2201</v>
      </c>
      <c r="I38" s="95">
        <f>I58</f>
        <v>1178</v>
      </c>
      <c r="J38" s="245"/>
    </row>
    <row r="39" spans="1:10" ht="17.25" customHeight="1" x14ac:dyDescent="0.35">
      <c r="A39" s="1"/>
      <c r="B39" s="255"/>
      <c r="C39" s="70" t="s">
        <v>36</v>
      </c>
      <c r="D39" s="140">
        <v>7000</v>
      </c>
      <c r="E39" s="140">
        <v>7000</v>
      </c>
      <c r="F39" s="95">
        <f>58.33792</f>
        <v>58.337919999999997</v>
      </c>
      <c r="G39" s="95">
        <f>E39</f>
        <v>7000</v>
      </c>
      <c r="H39" s="95">
        <f t="shared" si="3"/>
        <v>0</v>
      </c>
      <c r="I39" s="95">
        <f>E39</f>
        <v>7000</v>
      </c>
      <c r="J39" s="245"/>
    </row>
    <row r="40" spans="1:10" ht="17.25" customHeight="1" x14ac:dyDescent="0.35">
      <c r="A40" s="1"/>
      <c r="B40" s="255"/>
      <c r="C40" s="70" t="s">
        <v>38</v>
      </c>
      <c r="D40" s="140">
        <v>450</v>
      </c>
      <c r="E40" s="140">
        <v>450</v>
      </c>
      <c r="F40" s="95">
        <f>73.4277</f>
        <v>73.427700000000002</v>
      </c>
      <c r="G40" s="95">
        <f>206.48731</f>
        <v>206.48731000000001</v>
      </c>
      <c r="H40" s="95">
        <f>E40-G40</f>
        <v>243.51268999999999</v>
      </c>
      <c r="I40" s="95">
        <f>205.45345</f>
        <v>205.45345</v>
      </c>
      <c r="J40" s="245"/>
    </row>
    <row r="41" spans="1:10" ht="14.15" customHeight="1" x14ac:dyDescent="0.35">
      <c r="A41" s="1"/>
      <c r="B41" s="255"/>
      <c r="C41" s="70" t="s">
        <v>39</v>
      </c>
      <c r="D41" s="140"/>
      <c r="E41" s="136"/>
      <c r="F41" s="136">
        <f>12.6705</f>
        <v>12.670500000000001</v>
      </c>
      <c r="G41" s="136">
        <f>48.24703</f>
        <v>48.247030000000002</v>
      </c>
      <c r="H41" s="136">
        <f t="shared" ref="H41" si="4">E41-G41</f>
        <v>-48.247030000000002</v>
      </c>
      <c r="I41" s="136">
        <f>65.20126</f>
        <v>65.201260000000005</v>
      </c>
      <c r="J41" s="245"/>
    </row>
    <row r="42" spans="1:10" ht="16.5" customHeight="1" x14ac:dyDescent="0.35">
      <c r="A42" s="1"/>
      <c r="B42" s="255"/>
      <c r="C42" s="71" t="s">
        <v>40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11544.534510000001</v>
      </c>
      <c r="G42" s="73">
        <f t="shared" si="5"/>
        <v>89091.478369999997</v>
      </c>
      <c r="H42" s="73">
        <f t="shared" si="5"/>
        <v>86467.521630000017</v>
      </c>
      <c r="I42" s="73">
        <f t="shared" si="5"/>
        <v>126199.80653</v>
      </c>
      <c r="J42" s="245"/>
    </row>
    <row r="43" spans="1:10" ht="14.15" customHeight="1" x14ac:dyDescent="0.35">
      <c r="A43" s="101"/>
      <c r="B43" s="24"/>
      <c r="C43" s="74" t="s">
        <v>124</v>
      </c>
      <c r="D43" s="216"/>
      <c r="E43" s="216"/>
      <c r="F43" s="76"/>
      <c r="G43" s="76"/>
      <c r="H43" s="229"/>
      <c r="I43" s="229"/>
      <c r="J43" s="77"/>
    </row>
    <row r="44" spans="1:10" ht="14.15" customHeight="1" x14ac:dyDescent="0.35">
      <c r="A44" s="101"/>
      <c r="B44" s="24"/>
      <c r="C44" s="78" t="s">
        <v>41</v>
      </c>
      <c r="D44" s="216"/>
      <c r="E44" s="216"/>
      <c r="F44" s="216"/>
      <c r="G44" s="76"/>
      <c r="H44" s="173"/>
      <c r="I44" s="173"/>
      <c r="J44" s="245"/>
    </row>
    <row r="45" spans="1:10" ht="14.15" customHeight="1" x14ac:dyDescent="0.35">
      <c r="A45" s="101"/>
      <c r="B45" s="24"/>
      <c r="C45" s="156" t="s">
        <v>148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140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42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42"/>
      <c r="C48" s="272"/>
      <c r="D48" s="272"/>
      <c r="E48" s="106"/>
      <c r="F48" s="272"/>
      <c r="G48" s="272"/>
      <c r="H48" s="272"/>
      <c r="I48" s="272"/>
      <c r="J48" s="178"/>
    </row>
    <row r="49" spans="1:10" ht="33" customHeight="1" x14ac:dyDescent="0.35">
      <c r="A49" s="101"/>
      <c r="B49" s="24"/>
      <c r="C49" s="293" t="s">
        <v>43</v>
      </c>
      <c r="D49" s="293"/>
      <c r="E49" s="293"/>
      <c r="F49" s="293"/>
      <c r="G49" s="293"/>
      <c r="H49" s="293"/>
      <c r="I49" s="80"/>
      <c r="J49" s="81"/>
    </row>
    <row r="50" spans="1:10" ht="16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44</v>
      </c>
      <c r="E51" s="68" t="s">
        <v>121</v>
      </c>
      <c r="F51" s="68" t="s">
        <v>149</v>
      </c>
      <c r="G51" s="68" t="s">
        <v>150</v>
      </c>
      <c r="H51" s="68" t="s">
        <v>151</v>
      </c>
      <c r="I51" s="68" t="s">
        <v>152</v>
      </c>
      <c r="J51" s="245"/>
    </row>
    <row r="52" spans="1:10" ht="14.15" customHeight="1" x14ac:dyDescent="0.35">
      <c r="A52" s="101"/>
      <c r="B52" s="24"/>
      <c r="C52" s="15" t="s">
        <v>45</v>
      </c>
      <c r="D52" s="294">
        <v>7872</v>
      </c>
      <c r="E52" s="294">
        <v>8231</v>
      </c>
      <c r="F52" s="10">
        <f>F56+F55+F54+F53</f>
        <v>0</v>
      </c>
      <c r="G52" s="10">
        <f>G56+G55+G54+G53</f>
        <v>0</v>
      </c>
      <c r="H52" s="294">
        <f>E52-G52</f>
        <v>8231</v>
      </c>
      <c r="I52" s="10">
        <f>I56+I55+I54+I53</f>
        <v>0</v>
      </c>
      <c r="J52" s="117"/>
    </row>
    <row r="53" spans="1:10" ht="14.15" customHeight="1" x14ac:dyDescent="0.35">
      <c r="A53" s="101"/>
      <c r="B53" s="24"/>
      <c r="C53" s="60" t="s">
        <v>24</v>
      </c>
      <c r="D53" s="295"/>
      <c r="E53" s="295"/>
      <c r="F53" s="123"/>
      <c r="G53" s="123"/>
      <c r="H53" s="295"/>
      <c r="I53" s="123"/>
      <c r="J53" s="117"/>
    </row>
    <row r="54" spans="1:10" ht="14.15" customHeight="1" x14ac:dyDescent="0.35">
      <c r="A54" s="101"/>
      <c r="B54" s="24"/>
      <c r="C54" s="60" t="s">
        <v>25</v>
      </c>
      <c r="D54" s="295"/>
      <c r="E54" s="295"/>
      <c r="F54" s="123"/>
      <c r="G54" s="123"/>
      <c r="H54" s="295"/>
      <c r="I54" s="123"/>
      <c r="J54" s="245"/>
    </row>
    <row r="55" spans="1:10" ht="14.15" customHeight="1" x14ac:dyDescent="0.35">
      <c r="A55" s="101"/>
      <c r="B55" s="24"/>
      <c r="C55" s="60" t="s">
        <v>26</v>
      </c>
      <c r="D55" s="295"/>
      <c r="E55" s="295"/>
      <c r="F55" s="123"/>
      <c r="G55" s="123"/>
      <c r="H55" s="295"/>
      <c r="I55" s="123"/>
      <c r="J55" s="117"/>
    </row>
    <row r="56" spans="1:10" ht="14.15" customHeight="1" x14ac:dyDescent="0.35">
      <c r="A56" s="101"/>
      <c r="B56" s="24"/>
      <c r="C56" s="84" t="s">
        <v>27</v>
      </c>
      <c r="D56" s="296"/>
      <c r="E56" s="296"/>
      <c r="F56" s="186"/>
      <c r="G56" s="186"/>
      <c r="H56" s="296"/>
      <c r="I56" s="186"/>
      <c r="J56" s="117"/>
    </row>
    <row r="57" spans="1:10" ht="14.15" customHeight="1" x14ac:dyDescent="0.35">
      <c r="A57" s="101"/>
      <c r="B57" s="24"/>
      <c r="C57" s="85" t="s">
        <v>46</v>
      </c>
      <c r="D57" s="92">
        <v>960</v>
      </c>
      <c r="E57" s="92">
        <v>960</v>
      </c>
      <c r="F57" s="92"/>
      <c r="G57" s="92"/>
      <c r="H57" s="92">
        <f>E57-G57</f>
        <v>960</v>
      </c>
      <c r="I57" s="92"/>
      <c r="J57" s="245"/>
    </row>
    <row r="58" spans="1:10" ht="14.15" customHeight="1" x14ac:dyDescent="0.35">
      <c r="A58" s="101"/>
      <c r="B58" s="24"/>
      <c r="C58" s="139" t="s">
        <v>47</v>
      </c>
      <c r="D58" s="136">
        <v>3000</v>
      </c>
      <c r="E58" s="136">
        <v>3000</v>
      </c>
      <c r="F58" s="136">
        <v>236</v>
      </c>
      <c r="G58" s="136">
        <v>799</v>
      </c>
      <c r="H58" s="136">
        <f>E58-G58</f>
        <v>2201</v>
      </c>
      <c r="I58" s="136">
        <v>1178</v>
      </c>
      <c r="J58" s="117"/>
    </row>
    <row r="59" spans="1:10" ht="14.15" customHeight="1" x14ac:dyDescent="0.35">
      <c r="A59" s="101"/>
      <c r="B59" s="24"/>
      <c r="C59" s="74" t="s">
        <v>125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287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20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20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297" t="s">
        <v>1</v>
      </c>
      <c r="D68" s="298"/>
      <c r="E68" s="297" t="s">
        <v>2</v>
      </c>
      <c r="F68" s="299"/>
      <c r="G68" s="297" t="s">
        <v>3</v>
      </c>
      <c r="H68" s="298"/>
      <c r="I68" s="173"/>
      <c r="J68" s="245"/>
    </row>
    <row r="69" spans="1:10" ht="15" customHeight="1" x14ac:dyDescent="0.35">
      <c r="B69" s="255"/>
      <c r="C69" s="110" t="s">
        <v>143</v>
      </c>
      <c r="D69" s="114">
        <v>65468</v>
      </c>
      <c r="E69" s="259" t="s">
        <v>4</v>
      </c>
      <c r="F69" s="109">
        <v>24966</v>
      </c>
      <c r="G69" s="185" t="s">
        <v>5</v>
      </c>
      <c r="H69" s="109">
        <v>7333</v>
      </c>
      <c r="I69" s="173"/>
      <c r="J69" s="245"/>
    </row>
    <row r="70" spans="1:10" ht="15" customHeight="1" x14ac:dyDescent="0.35">
      <c r="B70" s="255"/>
      <c r="C70" s="110" t="s">
        <v>9</v>
      </c>
      <c r="D70" s="114">
        <v>56468</v>
      </c>
      <c r="E70" s="249" t="s">
        <v>7</v>
      </c>
      <c r="F70" s="114">
        <v>39930</v>
      </c>
      <c r="G70" s="185" t="s">
        <v>8</v>
      </c>
      <c r="H70" s="114">
        <v>29439</v>
      </c>
      <c r="I70" s="173"/>
      <c r="J70" s="245"/>
    </row>
    <row r="71" spans="1:10" ht="14.15" customHeight="1" x14ac:dyDescent="0.35">
      <c r="B71" s="255"/>
      <c r="C71" s="110" t="s">
        <v>73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45"/>
    </row>
    <row r="72" spans="1:10" ht="12" customHeight="1" x14ac:dyDescent="0.35">
      <c r="B72" s="255"/>
      <c r="C72" s="172" t="s">
        <v>49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45"/>
    </row>
    <row r="73" spans="1:10" ht="14.25" customHeight="1" x14ac:dyDescent="0.35">
      <c r="A73" s="1"/>
      <c r="B73" s="255"/>
      <c r="C73" s="101" t="s">
        <v>145</v>
      </c>
      <c r="D73" s="221"/>
      <c r="E73" s="221"/>
      <c r="F73" s="221"/>
      <c r="G73" s="221"/>
      <c r="H73" s="221"/>
      <c r="I73" s="237"/>
      <c r="J73" s="117"/>
    </row>
    <row r="74" spans="1:10" ht="6" customHeight="1" x14ac:dyDescent="0.35">
      <c r="A74" s="1"/>
      <c r="B74" s="255"/>
      <c r="C74" s="93"/>
      <c r="D74" s="93"/>
      <c r="E74" s="93"/>
      <c r="F74" s="93"/>
      <c r="G74" s="93"/>
      <c r="H74" s="93"/>
      <c r="I74" s="237"/>
      <c r="J74" s="117"/>
    </row>
    <row r="75" spans="1:10" ht="14.15" customHeight="1" x14ac:dyDescent="0.35">
      <c r="A75" s="1"/>
      <c r="B75" s="135"/>
      <c r="C75" s="272"/>
      <c r="D75" s="106"/>
      <c r="E75" s="272"/>
      <c r="F75" s="272"/>
      <c r="G75" s="272"/>
      <c r="H75" s="272"/>
      <c r="I75" s="261"/>
      <c r="J75" s="178"/>
    </row>
    <row r="76" spans="1:10" ht="20.25" customHeight="1" x14ac:dyDescent="0.35">
      <c r="A76" s="1"/>
      <c r="B76" s="255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55"/>
      <c r="C77" s="289"/>
      <c r="D77" s="289"/>
      <c r="E77" s="289"/>
      <c r="F77" s="289"/>
      <c r="G77" s="289"/>
      <c r="H77" s="289"/>
      <c r="I77" s="289"/>
      <c r="J77" s="18"/>
    </row>
    <row r="78" spans="1:10" ht="54" customHeight="1" x14ac:dyDescent="0.35">
      <c r="A78" s="1"/>
      <c r="B78" s="255"/>
      <c r="C78" s="14" t="s">
        <v>16</v>
      </c>
      <c r="D78" s="113" t="s">
        <v>17</v>
      </c>
      <c r="E78" s="14" t="s">
        <v>50</v>
      </c>
      <c r="F78" s="14" t="s">
        <v>149</v>
      </c>
      <c r="G78" s="14" t="s">
        <v>150</v>
      </c>
      <c r="H78" s="14" t="s">
        <v>151</v>
      </c>
      <c r="I78" s="14" t="s">
        <v>152</v>
      </c>
      <c r="J78" s="117"/>
    </row>
    <row r="79" spans="1:10" ht="14.15" customHeight="1" x14ac:dyDescent="0.35">
      <c r="A79" s="1"/>
      <c r="B79" s="255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267.40140000000002</v>
      </c>
      <c r="G79" s="10">
        <f t="shared" si="6"/>
        <v>9956.0785400000004</v>
      </c>
      <c r="H79" s="10">
        <f t="shared" si="6"/>
        <v>16184.92146</v>
      </c>
      <c r="I79" s="10">
        <f t="shared" si="6"/>
        <v>18662.850129999999</v>
      </c>
      <c r="J79" s="245"/>
    </row>
    <row r="80" spans="1:10" ht="15" customHeight="1" x14ac:dyDescent="0.35">
      <c r="A80" s="1"/>
      <c r="B80" s="255"/>
      <c r="C80" s="43" t="s">
        <v>20</v>
      </c>
      <c r="D80" s="44">
        <v>24216</v>
      </c>
      <c r="E80" s="44">
        <v>25316</v>
      </c>
      <c r="F80" s="22">
        <f>267.4014</f>
        <v>267.40140000000002</v>
      </c>
      <c r="G80" s="22">
        <f>9733.32594</f>
        <v>9733.3259400000006</v>
      </c>
      <c r="H80" s="22">
        <f>E80-G80</f>
        <v>15582.674059999999</v>
      </c>
      <c r="I80" s="22">
        <f>18078.44848</f>
        <v>18078.448479999999</v>
      </c>
      <c r="J80" s="245"/>
    </row>
    <row r="81" spans="1:10" ht="14.15" customHeight="1" x14ac:dyDescent="0.35">
      <c r="A81" s="1"/>
      <c r="B81" s="255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222.7526</f>
        <v>222.7526</v>
      </c>
      <c r="H81" s="48">
        <f>E81-G81</f>
        <v>602.24739999999997</v>
      </c>
      <c r="I81" s="48">
        <f>584.40165</f>
        <v>584.40165000000002</v>
      </c>
      <c r="J81" s="245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1065.7959499999997</v>
      </c>
      <c r="G82" s="10">
        <f t="shared" si="7"/>
        <v>13484.481040000001</v>
      </c>
      <c r="H82" s="10">
        <f t="shared" si="7"/>
        <v>30644.518960000005</v>
      </c>
      <c r="I82" s="10">
        <f t="shared" si="7"/>
        <v>16105.447560000001</v>
      </c>
      <c r="J82" s="245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864.82902999999988</v>
      </c>
      <c r="G83" s="129">
        <f t="shared" si="8"/>
        <v>10390.96011</v>
      </c>
      <c r="H83" s="129">
        <f t="shared" si="8"/>
        <v>22114.039890000004</v>
      </c>
      <c r="I83" s="129">
        <f t="shared" si="8"/>
        <v>11295.49906</v>
      </c>
      <c r="J83" s="245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70.86123</f>
        <v>70.861230000000006</v>
      </c>
      <c r="G84" s="123">
        <f>2075.54194</f>
        <v>2075.5419400000001</v>
      </c>
      <c r="H84" s="123">
        <f t="shared" ref="H84:H91" si="9">E84-G84</f>
        <v>6928.4580599999999</v>
      </c>
      <c r="I84" s="123">
        <f>2801.64519</f>
        <v>2801.6451900000002</v>
      </c>
      <c r="J84" s="245"/>
    </row>
    <row r="85" spans="1:10" ht="14.15" customHeight="1" x14ac:dyDescent="0.35">
      <c r="A85" s="192"/>
      <c r="B85" s="176"/>
      <c r="C85" s="60" t="s">
        <v>51</v>
      </c>
      <c r="D85" s="61">
        <v>8674</v>
      </c>
      <c r="E85" s="61">
        <v>9075</v>
      </c>
      <c r="F85" s="123">
        <f>158.35171</f>
        <v>158.35171</v>
      </c>
      <c r="G85" s="123">
        <f>2404.37671</f>
        <v>2404.37671</v>
      </c>
      <c r="H85" s="123">
        <f t="shared" si="9"/>
        <v>6670.6232899999995</v>
      </c>
      <c r="I85" s="123">
        <f>3868.31283</f>
        <v>3868.3128299999998</v>
      </c>
      <c r="J85" s="245"/>
    </row>
    <row r="86" spans="1:10" ht="14.15" customHeight="1" x14ac:dyDescent="0.35">
      <c r="A86" s="192"/>
      <c r="B86" s="176"/>
      <c r="C86" s="60" t="s">
        <v>52</v>
      </c>
      <c r="D86" s="61">
        <v>8266</v>
      </c>
      <c r="E86" s="61">
        <v>8649</v>
      </c>
      <c r="F86" s="123">
        <f>333.82463</f>
        <v>333.82463000000001</v>
      </c>
      <c r="G86" s="123">
        <f>3058.60174</f>
        <v>3058.6017400000001</v>
      </c>
      <c r="H86" s="123">
        <f t="shared" si="9"/>
        <v>5590.3982599999999</v>
      </c>
      <c r="I86" s="123">
        <f>3016.66793</f>
        <v>3016.6679300000001</v>
      </c>
      <c r="J86" s="245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301.79146</f>
        <v>301.79145999999997</v>
      </c>
      <c r="G87" s="123">
        <f>2852.43972</f>
        <v>2852.4397199999999</v>
      </c>
      <c r="H87" s="123">
        <f t="shared" si="9"/>
        <v>2924.5602800000001</v>
      </c>
      <c r="I87" s="123">
        <f>1608.87311</f>
        <v>1608.87311</v>
      </c>
      <c r="J87" s="245"/>
    </row>
    <row r="88" spans="1:10" ht="14.15" customHeight="1" x14ac:dyDescent="0.35">
      <c r="A88" s="192"/>
      <c r="B88" s="176"/>
      <c r="C88" s="54" t="s">
        <v>53</v>
      </c>
      <c r="D88" s="55">
        <v>7333</v>
      </c>
      <c r="E88" s="55">
        <v>8117</v>
      </c>
      <c r="F88" s="129">
        <f>154.52191</f>
        <v>154.52190999999999</v>
      </c>
      <c r="G88" s="129">
        <f>2279.00181</f>
        <v>2279.0018100000002</v>
      </c>
      <c r="H88" s="129">
        <f t="shared" si="9"/>
        <v>5837.9981900000002</v>
      </c>
      <c r="I88" s="129">
        <f>3532.97281</f>
        <v>3532.9728100000002</v>
      </c>
      <c r="J88" s="245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46.44501</f>
        <v>46.445010000000003</v>
      </c>
      <c r="G89" s="72">
        <f>814.51912</f>
        <v>814.51912000000004</v>
      </c>
      <c r="H89" s="72">
        <f t="shared" si="9"/>
        <v>2692.4808800000001</v>
      </c>
      <c r="I89" s="72">
        <f>1276.97569</f>
        <v>1276.97569</v>
      </c>
      <c r="J89" s="245"/>
    </row>
    <row r="90" spans="1:10" ht="15.75" customHeight="1" x14ac:dyDescent="0.35">
      <c r="A90" s="1"/>
      <c r="B90" s="51"/>
      <c r="C90" s="70" t="s">
        <v>34</v>
      </c>
      <c r="D90" s="86">
        <v>319</v>
      </c>
      <c r="E90" s="86">
        <v>319</v>
      </c>
      <c r="F90" s="95">
        <f>0.11494</f>
        <v>0.11494</v>
      </c>
      <c r="G90" s="95">
        <f>20.96084</f>
        <v>20.960840000000001</v>
      </c>
      <c r="H90" s="95">
        <f t="shared" si="9"/>
        <v>298.03915999999998</v>
      </c>
      <c r="I90" s="95">
        <f>26.97363</f>
        <v>26.97363</v>
      </c>
      <c r="J90" s="245"/>
    </row>
    <row r="91" spans="1:10" ht="18" customHeight="1" x14ac:dyDescent="0.35">
      <c r="A91" s="1"/>
      <c r="B91" s="255"/>
      <c r="C91" s="70" t="s">
        <v>54</v>
      </c>
      <c r="D91" s="140">
        <v>300</v>
      </c>
      <c r="E91" s="140">
        <v>300</v>
      </c>
      <c r="F91" s="136">
        <f>4.28591</f>
        <v>4.2859100000000003</v>
      </c>
      <c r="G91" s="136">
        <f>E91</f>
        <v>300</v>
      </c>
      <c r="H91" s="136">
        <f t="shared" si="9"/>
        <v>0</v>
      </c>
      <c r="I91" s="136">
        <f>E91</f>
        <v>300</v>
      </c>
      <c r="J91" s="245"/>
    </row>
    <row r="92" spans="1:10" ht="16.5" customHeight="1" x14ac:dyDescent="0.35">
      <c r="A92" s="1"/>
      <c r="B92" s="255"/>
      <c r="C92" s="89" t="s">
        <v>38</v>
      </c>
      <c r="D92" s="140">
        <v>50</v>
      </c>
      <c r="E92" s="140">
        <v>50</v>
      </c>
      <c r="F92" s="95">
        <f>0.2178</f>
        <v>0.21779999999999999</v>
      </c>
      <c r="G92" s="95">
        <f>8.46981</f>
        <v>8.4698100000000007</v>
      </c>
      <c r="H92" s="136">
        <f>E92-G92</f>
        <v>41.530189999999997</v>
      </c>
      <c r="I92" s="95">
        <f>8.85194</f>
        <v>8.8519400000000008</v>
      </c>
      <c r="J92" s="245"/>
    </row>
    <row r="93" spans="1:10" ht="18" customHeight="1" x14ac:dyDescent="0.35">
      <c r="A93" s="1"/>
      <c r="B93" s="255"/>
      <c r="C93" s="89" t="s">
        <v>55</v>
      </c>
      <c r="D93" s="140"/>
      <c r="E93" s="136"/>
      <c r="F93" s="136">
        <f>3.5149</f>
        <v>3.5148999999999999</v>
      </c>
      <c r="G93" s="136">
        <f>4.85056</f>
        <v>4.8505599999999998</v>
      </c>
      <c r="H93" s="136">
        <f t="shared" ref="H93" si="10">E93-G93</f>
        <v>-4.8505599999999998</v>
      </c>
      <c r="I93" s="136">
        <f>13.28324</f>
        <v>13.283239999999999</v>
      </c>
      <c r="J93" s="245"/>
    </row>
    <row r="94" spans="1:10" ht="16.5" customHeight="1" x14ac:dyDescent="0.35">
      <c r="A94" s="1"/>
      <c r="B94" s="255"/>
      <c r="C94" s="71" t="s">
        <v>40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1341.3308999999995</v>
      </c>
      <c r="G94" s="73">
        <f t="shared" si="12"/>
        <v>23774.840789999998</v>
      </c>
      <c r="H94" s="73">
        <f t="shared" si="12"/>
        <v>47164.159210000005</v>
      </c>
      <c r="I94" s="73">
        <f t="shared" si="12"/>
        <v>35117.406499999997</v>
      </c>
      <c r="J94" s="245"/>
    </row>
    <row r="95" spans="1:10" ht="13.5" customHeight="1" x14ac:dyDescent="0.35">
      <c r="A95" s="1"/>
      <c r="B95" s="255"/>
      <c r="C95" s="74" t="s">
        <v>126</v>
      </c>
      <c r="D95" s="97"/>
      <c r="E95" s="97"/>
      <c r="F95" s="98"/>
      <c r="G95" s="98"/>
      <c r="H95" s="100"/>
      <c r="I95" s="229"/>
      <c r="J95" s="245"/>
    </row>
    <row r="96" spans="1:10" ht="13.5" customHeight="1" x14ac:dyDescent="0.35">
      <c r="A96" s="1"/>
      <c r="B96" s="24"/>
      <c r="C96" s="156" t="s">
        <v>146</v>
      </c>
      <c r="D96" s="216"/>
      <c r="E96" s="216"/>
      <c r="F96" s="76"/>
      <c r="G96" s="76"/>
      <c r="H96" s="229"/>
      <c r="I96" s="229"/>
      <c r="J96" s="102"/>
    </row>
    <row r="97" spans="1:10" ht="15" customHeight="1" x14ac:dyDescent="0.35">
      <c r="A97" s="1"/>
      <c r="B97" s="24"/>
      <c r="C97" s="156" t="s">
        <v>131</v>
      </c>
      <c r="D97" s="216"/>
      <c r="E97" s="216"/>
      <c r="F97" s="76"/>
      <c r="G97" s="76"/>
      <c r="H97" s="229"/>
      <c r="I97" s="229"/>
      <c r="J97" s="102"/>
    </row>
    <row r="98" spans="1:10" ht="15" customHeight="1" x14ac:dyDescent="0.35">
      <c r="A98" s="1"/>
      <c r="B98" s="24"/>
      <c r="C98" s="229" t="s">
        <v>56</v>
      </c>
      <c r="D98" s="216"/>
      <c r="E98" s="216"/>
      <c r="F98" s="76"/>
      <c r="G98" s="76"/>
      <c r="H98" s="229"/>
      <c r="I98" s="229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112</v>
      </c>
      <c r="D100" s="229"/>
      <c r="E100" s="229"/>
      <c r="F100" s="229"/>
      <c r="G100" s="229"/>
      <c r="H100" s="229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15"/>
      <c r="B102" s="215"/>
      <c r="C102" s="220" t="s">
        <v>57</v>
      </c>
      <c r="D102" s="215"/>
      <c r="E102" s="215"/>
      <c r="F102" s="215"/>
      <c r="G102" s="215"/>
      <c r="H102" s="215"/>
      <c r="I102" s="215"/>
      <c r="J102" s="215"/>
    </row>
    <row r="103" spans="1:10" ht="3" customHeight="1" x14ac:dyDescent="0.35">
      <c r="A103" s="215"/>
      <c r="B103" s="215"/>
      <c r="C103" s="220"/>
      <c r="D103" s="215"/>
      <c r="E103" s="215"/>
      <c r="F103" s="215"/>
      <c r="G103" s="215"/>
      <c r="H103" s="215"/>
      <c r="I103" s="215"/>
      <c r="J103" s="215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45"/>
    </row>
    <row r="106" spans="1:10" ht="14.15" customHeight="1" x14ac:dyDescent="0.35">
      <c r="A106" s="1"/>
      <c r="B106" s="255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45"/>
    </row>
    <row r="107" spans="1:10" ht="14.15" customHeight="1" x14ac:dyDescent="0.35">
      <c r="A107" s="1"/>
      <c r="B107" s="255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45"/>
    </row>
    <row r="108" spans="1:10" ht="14.15" customHeight="1" x14ac:dyDescent="0.35">
      <c r="A108" s="1"/>
      <c r="B108" s="255"/>
      <c r="C108" s="249" t="s">
        <v>58</v>
      </c>
      <c r="D108" s="114">
        <v>1650</v>
      </c>
      <c r="E108" s="110" t="s">
        <v>59</v>
      </c>
      <c r="F108" s="114">
        <v>43775</v>
      </c>
      <c r="G108" s="110" t="s">
        <v>11</v>
      </c>
      <c r="H108" s="114">
        <v>9315</v>
      </c>
      <c r="I108" s="173"/>
      <c r="J108" s="245"/>
    </row>
    <row r="109" spans="1:10" ht="14.15" customHeight="1" x14ac:dyDescent="0.35">
      <c r="A109" s="1"/>
      <c r="B109" s="149"/>
      <c r="C109" s="161"/>
      <c r="D109" s="185"/>
      <c r="E109" s="185" t="s">
        <v>60</v>
      </c>
      <c r="F109" s="114">
        <v>4267</v>
      </c>
      <c r="G109" s="110"/>
      <c r="H109" s="161"/>
      <c r="I109" s="173"/>
      <c r="J109" s="245"/>
    </row>
    <row r="110" spans="1:10" ht="12" customHeight="1" x14ac:dyDescent="0.35">
      <c r="A110" s="1"/>
      <c r="B110" s="255"/>
      <c r="C110" s="172" t="s">
        <v>49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45"/>
    </row>
    <row r="111" spans="1:10" ht="12" customHeight="1" x14ac:dyDescent="0.3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42"/>
      <c r="C112" s="272"/>
      <c r="D112" s="272"/>
      <c r="E112" s="234"/>
      <c r="F112" s="234"/>
      <c r="G112" s="234"/>
      <c r="H112" s="234"/>
      <c r="I112" s="234"/>
      <c r="J112" s="246"/>
    </row>
    <row r="113" spans="1:10" ht="25.5" customHeight="1" x14ac:dyDescent="0.35">
      <c r="A113" s="1"/>
      <c r="B113" s="255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64" t="s">
        <v>16</v>
      </c>
      <c r="D114" s="14" t="s">
        <v>17</v>
      </c>
      <c r="E114" s="14" t="s">
        <v>61</v>
      </c>
      <c r="F114" s="14" t="s">
        <v>149</v>
      </c>
      <c r="G114" s="14" t="s">
        <v>150</v>
      </c>
      <c r="H114" s="14" t="s">
        <v>151</v>
      </c>
      <c r="I114" s="14" t="s">
        <v>152</v>
      </c>
      <c r="J114" s="279"/>
    </row>
    <row r="115" spans="1:10" ht="14.15" customHeight="1" x14ac:dyDescent="0.35">
      <c r="A115" s="1"/>
      <c r="B115" s="255"/>
      <c r="C115" s="15" t="s">
        <v>62</v>
      </c>
      <c r="D115" s="27">
        <f>D116+D117+D118</f>
        <v>64787</v>
      </c>
      <c r="E115" s="27">
        <f>E116+E117+E118</f>
        <v>72290</v>
      </c>
      <c r="F115" s="10">
        <f t="shared" ref="F115:I115" si="13">F116+F117+F118</f>
        <v>60.4024</v>
      </c>
      <c r="G115" s="10">
        <f t="shared" si="13"/>
        <v>22083.300439999999</v>
      </c>
      <c r="H115" s="10">
        <f t="shared" si="13"/>
        <v>50206.699560000001</v>
      </c>
      <c r="I115" s="10">
        <f t="shared" si="13"/>
        <v>26744.617310000001</v>
      </c>
      <c r="J115" s="245"/>
    </row>
    <row r="116" spans="1:10" ht="14.15" customHeight="1" x14ac:dyDescent="0.35">
      <c r="A116" s="1"/>
      <c r="B116" s="255"/>
      <c r="C116" s="43" t="s">
        <v>20</v>
      </c>
      <c r="D116" s="44">
        <v>51830</v>
      </c>
      <c r="E116" s="44">
        <v>57471</v>
      </c>
      <c r="F116" s="22">
        <f>58.2714</f>
        <v>58.2714</v>
      </c>
      <c r="G116" s="22">
        <f>20169.54529</f>
        <v>20169.545289999998</v>
      </c>
      <c r="H116" s="22">
        <f>E116-G116</f>
        <v>37301.454710000005</v>
      </c>
      <c r="I116" s="22">
        <f>23620.74763</f>
        <v>23620.747630000002</v>
      </c>
      <c r="J116" s="245"/>
    </row>
    <row r="117" spans="1:10" ht="15" customHeight="1" x14ac:dyDescent="0.35">
      <c r="A117" s="1"/>
      <c r="B117" s="255"/>
      <c r="C117" s="43" t="s">
        <v>21</v>
      </c>
      <c r="D117" s="44">
        <v>12457</v>
      </c>
      <c r="E117" s="44">
        <v>14319</v>
      </c>
      <c r="F117" s="22">
        <f>0</f>
        <v>0</v>
      </c>
      <c r="G117" s="22">
        <f>1848.9627</f>
        <v>1848.9627</v>
      </c>
      <c r="H117" s="22">
        <f>E117-G117</f>
        <v>12470.0373</v>
      </c>
      <c r="I117" s="22">
        <f>3060.91453</f>
        <v>3060.91453</v>
      </c>
      <c r="J117" s="245"/>
    </row>
    <row r="118" spans="1:10" ht="13.5" customHeight="1" x14ac:dyDescent="0.35">
      <c r="A118" s="1"/>
      <c r="B118" s="255"/>
      <c r="C118" s="47" t="s">
        <v>63</v>
      </c>
      <c r="D118" s="32">
        <v>500</v>
      </c>
      <c r="E118" s="32">
        <v>500</v>
      </c>
      <c r="F118" s="22">
        <f>2.131</f>
        <v>2.1309999999999998</v>
      </c>
      <c r="G118" s="22">
        <f>64.79245</f>
        <v>64.792450000000002</v>
      </c>
      <c r="H118" s="53">
        <f>E118-G118</f>
        <v>435.20754999999997</v>
      </c>
      <c r="I118" s="22">
        <f>62.95515</f>
        <v>62.955150000000003</v>
      </c>
      <c r="J118" s="245"/>
    </row>
    <row r="119" spans="1:10" ht="14.25" customHeight="1" x14ac:dyDescent="0.35">
      <c r="A119" s="65"/>
      <c r="B119" s="75"/>
      <c r="C119" s="85" t="s">
        <v>64</v>
      </c>
      <c r="D119" s="87">
        <v>43775</v>
      </c>
      <c r="E119" s="87">
        <v>52305</v>
      </c>
      <c r="F119" s="92">
        <f>15.4438</f>
        <v>15.4438</v>
      </c>
      <c r="G119" s="92">
        <f>38.64065</f>
        <v>38.640650000000001</v>
      </c>
      <c r="H119" s="92">
        <f>E119-G119</f>
        <v>52266.359349999999</v>
      </c>
      <c r="I119" s="92">
        <f>16.308</f>
        <v>16.308</v>
      </c>
      <c r="J119" s="111"/>
    </row>
    <row r="120" spans="1:10" ht="15.75" customHeight="1" x14ac:dyDescent="0.35">
      <c r="A120" s="1"/>
      <c r="B120" s="255"/>
      <c r="C120" s="139" t="s">
        <v>22</v>
      </c>
      <c r="D120" s="140">
        <f>D121+D126+D129</f>
        <v>67996</v>
      </c>
      <c r="E120" s="140">
        <f>E121+E126+E129</f>
        <v>72895</v>
      </c>
      <c r="F120" s="91">
        <f>F121+F126+F129</f>
        <v>1240.92724</v>
      </c>
      <c r="G120" s="91">
        <f t="shared" ref="G120" si="14">G121+G126+G129</f>
        <v>28951.648249999998</v>
      </c>
      <c r="H120" s="91">
        <f>H121+H126+H129</f>
        <v>43943.351750000002</v>
      </c>
      <c r="I120" s="91">
        <f>I121+I126+I129</f>
        <v>38170.098859999998</v>
      </c>
      <c r="J120" s="117"/>
    </row>
    <row r="121" spans="1:10" ht="14.15" customHeight="1" x14ac:dyDescent="0.35">
      <c r="A121" s="1"/>
      <c r="B121" s="50"/>
      <c r="C121" s="118" t="s">
        <v>65</v>
      </c>
      <c r="D121" s="119">
        <f>D122+D123+D124+D125</f>
        <v>51362</v>
      </c>
      <c r="E121" s="119">
        <f>E122+E123+E124+E125</f>
        <v>54734</v>
      </c>
      <c r="F121" s="121">
        <f>F122+F123+F124+F125</f>
        <v>916.25910999999996</v>
      </c>
      <c r="G121" s="121">
        <f>G122+G123+G125+G124</f>
        <v>21874.602070000001</v>
      </c>
      <c r="H121" s="121">
        <f>H122+H123+H124+H125</f>
        <v>32859.397929999999</v>
      </c>
      <c r="I121" s="121">
        <f>I122+I123+I124+I125</f>
        <v>28924.662059999999</v>
      </c>
      <c r="J121" s="279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16279</v>
      </c>
      <c r="F122" s="123">
        <f>83.81426</f>
        <v>83.814260000000004</v>
      </c>
      <c r="G122" s="123">
        <f>4953.05726</f>
        <v>4953.0572599999996</v>
      </c>
      <c r="H122" s="123">
        <f>E122-G122</f>
        <v>11325.94274</v>
      </c>
      <c r="I122" s="123">
        <f>5209.91128</f>
        <v>5209.9112800000003</v>
      </c>
      <c r="J122" s="125"/>
    </row>
    <row r="123" spans="1:10" ht="14.15" customHeight="1" x14ac:dyDescent="0.35">
      <c r="A123" s="192"/>
      <c r="B123" s="176"/>
      <c r="C123" s="60" t="s">
        <v>51</v>
      </c>
      <c r="D123" s="61">
        <v>14094</v>
      </c>
      <c r="E123" s="61">
        <v>13937</v>
      </c>
      <c r="F123" s="123">
        <f>115.25721</f>
        <v>115.25721</v>
      </c>
      <c r="G123" s="123">
        <f>6978.24793</f>
        <v>6978.2479300000005</v>
      </c>
      <c r="H123" s="123">
        <f>E123-G123</f>
        <v>6958.7520699999995</v>
      </c>
      <c r="I123" s="123">
        <f>8960.7254</f>
        <v>8960.7253999999994</v>
      </c>
      <c r="J123" s="126"/>
    </row>
    <row r="124" spans="1:10" ht="14.15" customHeight="1" x14ac:dyDescent="0.35">
      <c r="A124" s="192"/>
      <c r="B124" s="176"/>
      <c r="C124" s="60" t="s">
        <v>52</v>
      </c>
      <c r="D124" s="61">
        <v>12169</v>
      </c>
      <c r="E124" s="61">
        <v>11676</v>
      </c>
      <c r="F124" s="123">
        <f>256.432</f>
        <v>256.43200000000002</v>
      </c>
      <c r="G124" s="123">
        <f>4808.42395</f>
        <v>4808.4239500000003</v>
      </c>
      <c r="H124" s="123">
        <f>E124-G124</f>
        <v>6867.5760499999997</v>
      </c>
      <c r="I124" s="123">
        <f>7430.40978</f>
        <v>7430.40978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12842</v>
      </c>
      <c r="F125" s="123">
        <f>460.75564</f>
        <v>460.75564000000003</v>
      </c>
      <c r="G125" s="123">
        <f>5134.87293</f>
        <v>5134.8729300000005</v>
      </c>
      <c r="H125" s="123">
        <f>E125-G125</f>
        <v>7707.1270699999995</v>
      </c>
      <c r="I125" s="123">
        <f>7323.6156</f>
        <v>7323.6156000000001</v>
      </c>
      <c r="J125" s="126"/>
    </row>
    <row r="126" spans="1:10" ht="14.15" customHeight="1" x14ac:dyDescent="0.35">
      <c r="A126" s="64"/>
      <c r="B126" s="51"/>
      <c r="C126" s="54" t="s">
        <v>29</v>
      </c>
      <c r="D126" s="55">
        <f>D127+D128</f>
        <v>7319</v>
      </c>
      <c r="E126" s="55">
        <f>E127+E128</f>
        <v>7031</v>
      </c>
      <c r="F126" s="129">
        <f>SUM(F127:F128)</f>
        <v>222.03182000000001</v>
      </c>
      <c r="G126" s="129">
        <f>SUM(G127:G128)</f>
        <v>4840.8079199999993</v>
      </c>
      <c r="H126" s="129">
        <f>H127+H128</f>
        <v>2190.1920800000003</v>
      </c>
      <c r="I126" s="129">
        <f>SUM(I127:I128)</f>
        <v>7063.9855699999998</v>
      </c>
      <c r="J126" s="130"/>
    </row>
    <row r="127" spans="1:10" ht="14.15" customHeight="1" x14ac:dyDescent="0.35">
      <c r="A127" s="1"/>
      <c r="B127" s="255"/>
      <c r="C127" s="60" t="s">
        <v>66</v>
      </c>
      <c r="D127" s="61">
        <v>6819</v>
      </c>
      <c r="E127" s="61">
        <v>6531</v>
      </c>
      <c r="F127" s="123">
        <f>222.03182</f>
        <v>222.03182000000001</v>
      </c>
      <c r="G127" s="123">
        <f>4745.40288</f>
        <v>4745.4028799999996</v>
      </c>
      <c r="H127" s="123">
        <f t="shared" ref="H127:H135" si="15">E127-G127</f>
        <v>1785.5971200000004</v>
      </c>
      <c r="I127" s="123">
        <f>6923.95943</f>
        <v>6923.9594299999999</v>
      </c>
      <c r="J127" s="117"/>
    </row>
    <row r="128" spans="1:10" ht="15" customHeight="1" x14ac:dyDescent="0.35">
      <c r="A128" s="1"/>
      <c r="B128" s="51"/>
      <c r="C128" s="60" t="s">
        <v>67</v>
      </c>
      <c r="D128" s="61">
        <v>500</v>
      </c>
      <c r="E128" s="61">
        <v>500</v>
      </c>
      <c r="F128" s="123">
        <f>0</f>
        <v>0</v>
      </c>
      <c r="G128" s="123">
        <f>95.40504</f>
        <v>95.40504</v>
      </c>
      <c r="H128" s="123">
        <f t="shared" si="15"/>
        <v>404.59496000000001</v>
      </c>
      <c r="I128" s="123">
        <f>140.02614</f>
        <v>140.02614</v>
      </c>
      <c r="J128" s="131"/>
    </row>
    <row r="129" spans="1:10" ht="15.75" customHeight="1" x14ac:dyDescent="0.35">
      <c r="A129" s="1"/>
      <c r="B129" s="255"/>
      <c r="C129" s="37" t="s">
        <v>11</v>
      </c>
      <c r="D129" s="59">
        <v>9315</v>
      </c>
      <c r="E129" s="59">
        <v>11130</v>
      </c>
      <c r="F129" s="72">
        <f>102.63631</f>
        <v>102.63630999999999</v>
      </c>
      <c r="G129" s="72">
        <f>2236.23826</f>
        <v>2236.2382600000001</v>
      </c>
      <c r="H129" s="72">
        <f t="shared" si="15"/>
        <v>8893.7617399999999</v>
      </c>
      <c r="I129" s="72">
        <f>2181.45123</f>
        <v>2181.4512300000001</v>
      </c>
      <c r="J129" s="117"/>
    </row>
    <row r="130" spans="1:10" ht="15.75" customHeight="1" x14ac:dyDescent="0.35">
      <c r="A130" s="1"/>
      <c r="B130" s="255"/>
      <c r="C130" s="139" t="s">
        <v>34</v>
      </c>
      <c r="D130" s="140">
        <v>146</v>
      </c>
      <c r="E130" s="140">
        <v>146</v>
      </c>
      <c r="F130" s="136">
        <f>0.12015</f>
        <v>0.12015000000000001</v>
      </c>
      <c r="G130" s="136">
        <f>10.52933</f>
        <v>10.52933</v>
      </c>
      <c r="H130" s="136">
        <f t="shared" si="15"/>
        <v>135.47067000000001</v>
      </c>
      <c r="I130" s="136">
        <f>10.32228</f>
        <v>10.322279999999999</v>
      </c>
      <c r="J130" s="117"/>
    </row>
    <row r="131" spans="1:10" ht="15.75" customHeight="1" x14ac:dyDescent="0.35">
      <c r="A131" s="1"/>
      <c r="B131" s="255"/>
      <c r="C131" s="137" t="s">
        <v>68</v>
      </c>
      <c r="D131" s="86">
        <v>350</v>
      </c>
      <c r="E131" s="86">
        <v>350</v>
      </c>
      <c r="F131" s="95">
        <f>0</f>
        <v>0</v>
      </c>
      <c r="G131" s="95">
        <f>0</f>
        <v>0</v>
      </c>
      <c r="H131" s="95">
        <f t="shared" si="15"/>
        <v>350</v>
      </c>
      <c r="I131" s="95">
        <f>0</f>
        <v>0</v>
      </c>
      <c r="J131" s="117"/>
    </row>
    <row r="132" spans="1:10" ht="18" customHeight="1" x14ac:dyDescent="0.35">
      <c r="A132" s="1"/>
      <c r="B132" s="255"/>
      <c r="C132" s="137" t="s">
        <v>69</v>
      </c>
      <c r="D132" s="140">
        <v>2000</v>
      </c>
      <c r="E132" s="140">
        <v>2000</v>
      </c>
      <c r="F132" s="136">
        <f>7.58763</f>
        <v>7.5876299999999999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45"/>
    </row>
    <row r="133" spans="1:10" ht="15.75" customHeight="1" x14ac:dyDescent="0.35">
      <c r="A133" s="1"/>
      <c r="B133" s="255"/>
      <c r="C133" s="139" t="s">
        <v>37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55"/>
      <c r="C134" s="139" t="s">
        <v>70</v>
      </c>
      <c r="D134" s="140">
        <v>313</v>
      </c>
      <c r="E134" s="140">
        <v>313</v>
      </c>
      <c r="F134" s="95">
        <f>0.6315</f>
        <v>0.63149999999999995</v>
      </c>
      <c r="G134" s="95">
        <f>69.38288</f>
        <v>69.38288</v>
      </c>
      <c r="H134" s="136">
        <f t="shared" si="15"/>
        <v>243.61712</v>
      </c>
      <c r="I134" s="95">
        <f>20.84023</f>
        <v>20.840229999999998</v>
      </c>
      <c r="J134" s="117"/>
    </row>
    <row r="135" spans="1:10" ht="15" customHeight="1" x14ac:dyDescent="0.35">
      <c r="A135" s="1"/>
      <c r="B135" s="255"/>
      <c r="C135" s="139" t="s">
        <v>39</v>
      </c>
      <c r="D135" s="142"/>
      <c r="E135" s="140"/>
      <c r="F135" s="136">
        <f>0.00851</f>
        <v>8.5100000000000002E-3</v>
      </c>
      <c r="G135" s="136">
        <f>74.43046</f>
        <v>74.430459999999997</v>
      </c>
      <c r="H135" s="136">
        <f t="shared" si="15"/>
        <v>-74.430459999999997</v>
      </c>
      <c r="I135" s="136">
        <f>109.01069</f>
        <v>109.01069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40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1325.1212299999997</v>
      </c>
      <c r="G137" s="73">
        <f>G115+G119+G120+G130+G131+G132+G133+G134+G135</f>
        <v>53227.932009999997</v>
      </c>
      <c r="H137" s="73">
        <f>H115+H119+H120+H130+H131+H132+H133+H134+H135</f>
        <v>147071.06799000001</v>
      </c>
      <c r="I137" s="73">
        <f>I115+I119+I120+I130+I131+I132+I133+I134+I135</f>
        <v>67071.197370000009</v>
      </c>
      <c r="J137" s="155"/>
    </row>
    <row r="138" spans="1:10" ht="14.25" customHeight="1" x14ac:dyDescent="0.35">
      <c r="A138" s="152"/>
      <c r="B138" s="50"/>
      <c r="C138" s="156" t="s">
        <v>71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128</v>
      </c>
      <c r="D139" s="116"/>
      <c r="E139" s="116"/>
      <c r="F139" s="116"/>
      <c r="G139" s="116"/>
      <c r="H139" s="159"/>
      <c r="I139" s="152"/>
      <c r="J139" s="279"/>
    </row>
    <row r="140" spans="1:10" ht="14.25" customHeight="1" x14ac:dyDescent="0.35">
      <c r="A140" s="152"/>
      <c r="B140" s="50"/>
      <c r="C140" s="156" t="s">
        <v>153</v>
      </c>
      <c r="D140" s="116"/>
      <c r="E140" s="116"/>
      <c r="F140" s="116"/>
      <c r="G140" s="116"/>
      <c r="H140" s="159"/>
      <c r="I140" s="152"/>
      <c r="J140" s="279"/>
    </row>
    <row r="141" spans="1:10" ht="14.25" customHeight="1" x14ac:dyDescent="0.35">
      <c r="A141" s="152"/>
      <c r="B141" s="50"/>
      <c r="C141" s="74" t="s">
        <v>147</v>
      </c>
      <c r="D141" s="116"/>
      <c r="E141" s="116"/>
      <c r="F141" s="116"/>
      <c r="G141" s="116"/>
      <c r="H141" s="159"/>
      <c r="I141" s="159"/>
      <c r="J141" s="279"/>
    </row>
    <row r="142" spans="1:10" ht="15.75" customHeight="1" x14ac:dyDescent="0.35">
      <c r="A142" s="152"/>
      <c r="B142" s="50"/>
      <c r="C142" s="156" t="s">
        <v>132</v>
      </c>
      <c r="D142" s="116"/>
      <c r="E142" s="116"/>
      <c r="F142" s="116"/>
      <c r="G142" s="116"/>
      <c r="H142" s="159"/>
      <c r="I142" s="159"/>
      <c r="J142" s="279"/>
    </row>
    <row r="143" spans="1:10" ht="15.75" customHeight="1" x14ac:dyDescent="0.35">
      <c r="A143" s="152"/>
      <c r="B143" s="50"/>
      <c r="C143" s="74" t="s">
        <v>138</v>
      </c>
      <c r="D143" s="116"/>
      <c r="E143" s="116"/>
      <c r="F143" s="116"/>
      <c r="G143" s="116"/>
      <c r="H143" s="159"/>
      <c r="I143" s="159"/>
      <c r="J143" s="279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20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20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112</v>
      </c>
      <c r="B150" s="255"/>
      <c r="C150" s="144" t="s">
        <v>1</v>
      </c>
      <c r="D150" s="180"/>
      <c r="E150" s="280"/>
      <c r="F150" s="280"/>
      <c r="G150" s="280"/>
      <c r="H150" s="1"/>
      <c r="I150" s="1"/>
      <c r="J150" s="117"/>
    </row>
    <row r="151" spans="1:10" ht="14.15" customHeight="1" x14ac:dyDescent="0.35">
      <c r="A151" s="1"/>
      <c r="B151" s="255"/>
      <c r="C151" s="172" t="s">
        <v>6</v>
      </c>
      <c r="D151" s="184">
        <v>9675</v>
      </c>
      <c r="E151" s="280"/>
      <c r="F151" s="280"/>
      <c r="G151" s="280"/>
      <c r="H151" s="1"/>
      <c r="I151" s="1"/>
      <c r="J151" s="117"/>
    </row>
    <row r="152" spans="1:10" ht="14.15" customHeight="1" x14ac:dyDescent="0.35">
      <c r="A152" s="1"/>
      <c r="B152" s="255"/>
      <c r="C152" s="172" t="s">
        <v>9</v>
      </c>
      <c r="D152" s="184">
        <v>8625</v>
      </c>
      <c r="E152" s="280"/>
      <c r="F152" s="280"/>
      <c r="G152" s="236"/>
      <c r="H152" s="1"/>
      <c r="I152" s="1"/>
      <c r="J152" s="117"/>
    </row>
    <row r="153" spans="1:10" ht="14.15" customHeight="1" x14ac:dyDescent="0.35">
      <c r="A153" s="1"/>
      <c r="B153" s="255"/>
      <c r="C153" s="172" t="s">
        <v>73</v>
      </c>
      <c r="D153" s="184">
        <v>700</v>
      </c>
      <c r="E153" s="280"/>
      <c r="F153" s="280"/>
      <c r="G153" s="280"/>
      <c r="H153" s="1"/>
      <c r="I153" s="1"/>
      <c r="J153" s="117"/>
    </row>
    <row r="154" spans="1:10" ht="14.15" customHeight="1" x14ac:dyDescent="0.35">
      <c r="A154" s="1"/>
      <c r="B154" s="255"/>
      <c r="C154" s="172" t="s">
        <v>49</v>
      </c>
      <c r="D154" s="184">
        <v>19000</v>
      </c>
      <c r="E154" s="280"/>
      <c r="F154" s="280"/>
      <c r="G154" s="280"/>
      <c r="H154" s="1"/>
      <c r="I154" s="1"/>
      <c r="J154" s="117"/>
    </row>
    <row r="155" spans="1:10" ht="14.15" customHeight="1" x14ac:dyDescent="0.35">
      <c r="A155" s="1"/>
      <c r="B155" s="255"/>
      <c r="C155" s="1"/>
      <c r="D155" s="45"/>
      <c r="E155" s="280"/>
      <c r="F155" s="280"/>
      <c r="G155" s="280"/>
      <c r="H155" s="1"/>
      <c r="I155" s="1"/>
      <c r="J155" s="117"/>
    </row>
    <row r="156" spans="1:10" ht="3.75" customHeight="1" x14ac:dyDescent="0.35">
      <c r="A156" s="1"/>
      <c r="B156" s="242"/>
      <c r="C156" s="154"/>
      <c r="D156" s="154"/>
      <c r="E156" s="267"/>
      <c r="F156" s="267"/>
      <c r="G156" s="267"/>
      <c r="H156" s="234"/>
      <c r="I156" s="234"/>
      <c r="J156" s="246"/>
    </row>
    <row r="157" spans="1:10" ht="24.75" customHeight="1" x14ac:dyDescent="0.35">
      <c r="A157" s="1"/>
      <c r="B157" s="255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25"/>
      <c r="D158" s="225"/>
      <c r="E158" s="225"/>
      <c r="F158" s="225"/>
      <c r="G158" s="225"/>
      <c r="H158" s="225"/>
      <c r="I158" s="225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149</v>
      </c>
      <c r="F159" s="14" t="s">
        <v>150</v>
      </c>
      <c r="G159" s="52" t="s">
        <v>151</v>
      </c>
      <c r="H159" s="14" t="s">
        <v>152</v>
      </c>
      <c r="I159" s="152"/>
      <c r="J159" s="279"/>
    </row>
    <row r="160" spans="1:10" ht="14.15" customHeight="1" x14ac:dyDescent="0.35">
      <c r="A160" s="1"/>
      <c r="B160" s="255"/>
      <c r="C160" s="138" t="s">
        <v>74</v>
      </c>
      <c r="D160" s="91">
        <v>3762</v>
      </c>
      <c r="E160" s="275">
        <f>0</f>
        <v>0</v>
      </c>
      <c r="F160" s="275">
        <f>311.63283</f>
        <v>311.63283000000001</v>
      </c>
      <c r="G160" s="42">
        <f>D160-F160-F161</f>
        <v>3188.7259199999999</v>
      </c>
      <c r="H160" s="275">
        <f>304.29985</f>
        <v>304.29984999999999</v>
      </c>
      <c r="I160" s="1"/>
      <c r="J160" s="117"/>
    </row>
    <row r="161" spans="1:10" ht="14.15" customHeight="1" x14ac:dyDescent="0.35">
      <c r="A161" s="1"/>
      <c r="B161" s="255"/>
      <c r="C161" s="133" t="s">
        <v>53</v>
      </c>
      <c r="D161" s="175"/>
      <c r="E161" s="148">
        <f>9.63414</f>
        <v>9.6341400000000004</v>
      </c>
      <c r="F161" s="148">
        <f>261.64125</f>
        <v>261.64125000000001</v>
      </c>
      <c r="G161" s="213"/>
      <c r="H161" s="148">
        <f>260.96231</f>
        <v>260.96231</v>
      </c>
      <c r="I161" s="1"/>
      <c r="J161" s="117"/>
    </row>
    <row r="162" spans="1:10" ht="15.65" customHeight="1" x14ac:dyDescent="0.35">
      <c r="A162" s="1"/>
      <c r="B162" s="255"/>
      <c r="C162" s="163" t="s">
        <v>75</v>
      </c>
      <c r="D162" s="95">
        <v>200</v>
      </c>
      <c r="E162" s="166">
        <f>0</f>
        <v>0</v>
      </c>
      <c r="F162" s="166">
        <f>26.85302</f>
        <v>26.853020000000001</v>
      </c>
      <c r="G162" s="166">
        <f>D162-F162</f>
        <v>173.14697999999999</v>
      </c>
      <c r="H162" s="166">
        <f>23.92866</f>
        <v>23.928660000000001</v>
      </c>
      <c r="I162" s="1"/>
      <c r="J162" s="117"/>
    </row>
    <row r="163" spans="1:10" ht="14.15" customHeight="1" x14ac:dyDescent="0.35">
      <c r="A163" s="65"/>
      <c r="B163" s="75"/>
      <c r="C163" s="174" t="s">
        <v>76</v>
      </c>
      <c r="D163" s="175">
        <v>5642</v>
      </c>
      <c r="E163" s="175">
        <f>E164+E165+E166</f>
        <v>5.7180800000000005</v>
      </c>
      <c r="F163" s="175">
        <f>F164+F165+F166</f>
        <v>72.989919999999998</v>
      </c>
      <c r="G163" s="175">
        <f>D163-F163</f>
        <v>5569.01008</v>
      </c>
      <c r="H163" s="175">
        <f>H164+H165+H166</f>
        <v>37.121209999999998</v>
      </c>
      <c r="I163" s="65"/>
      <c r="J163" s="111"/>
    </row>
    <row r="164" spans="1:10" ht="14.15" customHeight="1" x14ac:dyDescent="0.35">
      <c r="A164" s="192"/>
      <c r="B164" s="176"/>
      <c r="C164" s="177" t="s">
        <v>77</v>
      </c>
      <c r="D164" s="123"/>
      <c r="E164" s="123">
        <f>2.55404</f>
        <v>2.5540400000000001</v>
      </c>
      <c r="F164" s="123">
        <f>26.99394</f>
        <v>26.993939999999998</v>
      </c>
      <c r="G164" s="123"/>
      <c r="H164" s="123">
        <f>18.00069</f>
        <v>18.000689999999999</v>
      </c>
      <c r="I164" s="181"/>
      <c r="J164" s="126"/>
    </row>
    <row r="165" spans="1:10" ht="14.15" customHeight="1" x14ac:dyDescent="0.35">
      <c r="A165" s="192"/>
      <c r="B165" s="176"/>
      <c r="C165" s="177" t="s">
        <v>78</v>
      </c>
      <c r="D165" s="123"/>
      <c r="E165" s="123">
        <f>2.13604</f>
        <v>2.1360399999999999</v>
      </c>
      <c r="F165" s="123">
        <f>26.98526</f>
        <v>26.98526</v>
      </c>
      <c r="G165" s="123"/>
      <c r="H165" s="123">
        <f>10.73472</f>
        <v>10.734719999999999</v>
      </c>
      <c r="I165" s="181"/>
      <c r="J165" s="182"/>
    </row>
    <row r="166" spans="1:10" ht="14.15" customHeight="1" x14ac:dyDescent="0.35">
      <c r="A166" s="192"/>
      <c r="B166" s="176"/>
      <c r="C166" s="183" t="s">
        <v>79</v>
      </c>
      <c r="D166" s="186"/>
      <c r="E166" s="186">
        <f>1.028</f>
        <v>1.028</v>
      </c>
      <c r="F166" s="186">
        <f>19.01072</f>
        <v>19.010719999999999</v>
      </c>
      <c r="G166" s="186"/>
      <c r="H166" s="186">
        <f>8.3858</f>
        <v>8.3857999999999997</v>
      </c>
      <c r="I166" s="181"/>
      <c r="J166" s="182"/>
    </row>
    <row r="167" spans="1:10" ht="14.15" customHeight="1" x14ac:dyDescent="0.35">
      <c r="A167" s="1"/>
      <c r="B167" s="255"/>
      <c r="C167" s="70" t="s">
        <v>80</v>
      </c>
      <c r="D167" s="136">
        <v>71</v>
      </c>
      <c r="E167" s="136">
        <f>0</f>
        <v>0</v>
      </c>
      <c r="F167" s="136">
        <f>0</f>
        <v>0</v>
      </c>
      <c r="G167" s="136">
        <f>D167-F167</f>
        <v>71</v>
      </c>
      <c r="H167" s="136">
        <f>0</f>
        <v>0</v>
      </c>
      <c r="I167" s="173"/>
      <c r="J167" s="245"/>
    </row>
    <row r="168" spans="1:10" ht="16.5" customHeight="1" x14ac:dyDescent="0.35">
      <c r="A168" s="1"/>
      <c r="B168" s="255"/>
      <c r="C168" s="89" t="s">
        <v>81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45"/>
    </row>
    <row r="169" spans="1:10" ht="19.399999999999999" customHeight="1" x14ac:dyDescent="0.35">
      <c r="A169" s="152"/>
      <c r="B169" s="50"/>
      <c r="C169" s="71" t="s">
        <v>40</v>
      </c>
      <c r="D169" s="188">
        <f>D160+D162+D163+D167</f>
        <v>9675</v>
      </c>
      <c r="E169" s="188">
        <f>E160+E161+E162+E163+E167+E168</f>
        <v>15.352220000000001</v>
      </c>
      <c r="F169" s="188">
        <f>F160+F161+F162+F163+F167+F168</f>
        <v>673.11702000000002</v>
      </c>
      <c r="G169" s="188">
        <f>D169-F169</f>
        <v>9001.8829800000003</v>
      </c>
      <c r="H169" s="188">
        <f>H160+H161+H162+H163+H167+H168</f>
        <v>626.31203000000005</v>
      </c>
      <c r="I169" s="159"/>
      <c r="J169" s="155"/>
    </row>
    <row r="170" spans="1:10" ht="42" customHeight="1" x14ac:dyDescent="0.35">
      <c r="A170" s="1"/>
      <c r="B170" s="193"/>
      <c r="C170" s="228" t="s">
        <v>133</v>
      </c>
      <c r="D170" s="228"/>
      <c r="E170" s="228"/>
      <c r="F170" s="228"/>
      <c r="G170" s="228"/>
      <c r="H170" s="225"/>
      <c r="I170" s="225"/>
      <c r="J170" s="13"/>
    </row>
    <row r="171" spans="1:10" ht="12" customHeight="1" x14ac:dyDescent="0.35">
      <c r="A171" s="152" t="s">
        <v>112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112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1" t="s">
        <v>82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112</v>
      </c>
      <c r="B175" s="1"/>
      <c r="C175" s="211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27"/>
      <c r="D176" s="238"/>
      <c r="E176" s="238"/>
      <c r="F176" s="238"/>
      <c r="G176" s="238"/>
      <c r="H176" s="150"/>
      <c r="I176" s="150"/>
      <c r="J176" s="158"/>
    </row>
    <row r="177" spans="1:10" ht="15" customHeight="1" x14ac:dyDescent="0.35">
      <c r="A177" s="145"/>
      <c r="B177" s="255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55"/>
      <c r="C178" s="259" t="s">
        <v>83</v>
      </c>
      <c r="D178" s="270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55"/>
      <c r="C179" s="249" t="s">
        <v>84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55"/>
      <c r="C180" s="249" t="s">
        <v>85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55"/>
      <c r="C181" s="57" t="s">
        <v>49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55"/>
      <c r="C182" s="101" t="s">
        <v>134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55"/>
      <c r="C183" s="101" t="s">
        <v>135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55"/>
      <c r="C184" s="101" t="s">
        <v>136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42"/>
      <c r="C185" s="267"/>
      <c r="D185" s="154"/>
      <c r="E185" s="154"/>
      <c r="F185" s="267"/>
      <c r="G185" s="267"/>
      <c r="H185" s="267"/>
      <c r="I185" s="234"/>
      <c r="J185" s="246"/>
    </row>
    <row r="186" spans="1:10" ht="23.25" customHeight="1" x14ac:dyDescent="0.35">
      <c r="A186" s="1"/>
      <c r="B186" s="255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55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55"/>
      <c r="C188" s="68" t="s">
        <v>16</v>
      </c>
      <c r="D188" s="210" t="s">
        <v>2</v>
      </c>
      <c r="E188" s="14" t="s">
        <v>141</v>
      </c>
      <c r="F188" s="68" t="s">
        <v>149</v>
      </c>
      <c r="G188" s="68" t="s">
        <v>150</v>
      </c>
      <c r="H188" s="68" t="s">
        <v>151</v>
      </c>
      <c r="I188" s="68" t="s">
        <v>152</v>
      </c>
      <c r="J188" s="117"/>
    </row>
    <row r="189" spans="1:10" ht="15" customHeight="1" x14ac:dyDescent="0.35">
      <c r="A189" s="1"/>
      <c r="B189" s="255"/>
      <c r="C189" s="90" t="s">
        <v>4</v>
      </c>
      <c r="D189" s="124">
        <v>44142</v>
      </c>
      <c r="E189" s="124">
        <v>43335</v>
      </c>
      <c r="F189" s="124">
        <f>0.83</f>
        <v>0.83</v>
      </c>
      <c r="G189" s="124">
        <f>16703.41199</f>
        <v>16703.411990000001</v>
      </c>
      <c r="H189" s="124">
        <f>D189-G189</f>
        <v>27438.588009999999</v>
      </c>
      <c r="I189" s="124">
        <f>12986.02655</f>
        <v>12986.02655</v>
      </c>
      <c r="J189" s="117"/>
    </row>
    <row r="190" spans="1:10" ht="15" customHeight="1" x14ac:dyDescent="0.35">
      <c r="A190" s="1"/>
      <c r="B190" s="255"/>
      <c r="C190" s="90" t="s">
        <v>67</v>
      </c>
      <c r="D190" s="124">
        <v>100</v>
      </c>
      <c r="E190" s="124">
        <v>100</v>
      </c>
      <c r="F190" s="124">
        <f>0.012</f>
        <v>1.2E-2</v>
      </c>
      <c r="G190" s="124">
        <f>4.07594</f>
        <v>4.0759400000000001</v>
      </c>
      <c r="H190" s="124">
        <f>D190-G190</f>
        <v>95.924059999999997</v>
      </c>
      <c r="I190" s="124">
        <f>1.54105</f>
        <v>1.54105</v>
      </c>
      <c r="J190" s="117"/>
    </row>
    <row r="191" spans="1:10" ht="15.75" customHeight="1" x14ac:dyDescent="0.35">
      <c r="A191" s="1"/>
      <c r="B191" s="255"/>
      <c r="C191" s="146" t="s">
        <v>80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55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0.84199999999999997</v>
      </c>
      <c r="G192" s="190">
        <f>SUM(G189:G191)</f>
        <v>16707.487929999999</v>
      </c>
      <c r="H192" s="190">
        <f>D192-G192</f>
        <v>27570.512070000001</v>
      </c>
      <c r="I192" s="190">
        <f>SUM(I189:I191)</f>
        <v>12987.5676</v>
      </c>
      <c r="J192" s="117"/>
    </row>
    <row r="193" spans="1:10" ht="12" customHeight="1" x14ac:dyDescent="0.35">
      <c r="A193" s="1"/>
      <c r="B193" s="255"/>
      <c r="C193" s="101" t="s">
        <v>87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142</v>
      </c>
      <c r="D194" s="104"/>
      <c r="E194" s="104"/>
      <c r="F194" s="207"/>
      <c r="G194" s="207"/>
      <c r="H194" s="207"/>
      <c r="I194" s="207"/>
      <c r="J194" s="212"/>
    </row>
    <row r="195" spans="1:10" ht="16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1" t="s">
        <v>113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112</v>
      </c>
      <c r="B197" s="1"/>
      <c r="C197" s="211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27"/>
      <c r="D198" s="238"/>
      <c r="E198" s="238"/>
      <c r="F198" s="238"/>
      <c r="G198" s="238"/>
      <c r="H198" s="150"/>
      <c r="I198" s="150"/>
      <c r="J198" s="158"/>
    </row>
    <row r="199" spans="1:10" ht="23.25" customHeight="1" x14ac:dyDescent="0.35">
      <c r="A199" s="1"/>
      <c r="B199" s="255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55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55"/>
      <c r="C201" s="68" t="s">
        <v>16</v>
      </c>
      <c r="D201" s="79" t="s">
        <v>2</v>
      </c>
      <c r="E201" s="68" t="s">
        <v>149</v>
      </c>
      <c r="F201" s="68" t="s">
        <v>150</v>
      </c>
      <c r="G201" s="68" t="s">
        <v>151</v>
      </c>
      <c r="H201" s="68" t="s">
        <v>152</v>
      </c>
      <c r="I201" s="1"/>
      <c r="J201" s="117"/>
    </row>
    <row r="202" spans="1:10" ht="15" customHeight="1" x14ac:dyDescent="0.35">
      <c r="A202" s="1"/>
      <c r="B202" s="255"/>
      <c r="C202" s="90" t="s">
        <v>116</v>
      </c>
      <c r="D202" s="124">
        <v>3987</v>
      </c>
      <c r="E202" s="72">
        <f>E203+E204</f>
        <v>58.959530000000001</v>
      </c>
      <c r="F202" s="72">
        <f>F203+F204</f>
        <v>1093.76584</v>
      </c>
      <c r="G202" s="72">
        <f>D202-F202</f>
        <v>2893.23416</v>
      </c>
      <c r="H202" s="72">
        <f>H203+H204</f>
        <v>1488.65663</v>
      </c>
      <c r="I202" s="249"/>
      <c r="J202" s="117"/>
    </row>
    <row r="203" spans="1:10" ht="15" customHeight="1" x14ac:dyDescent="0.35">
      <c r="A203" s="1"/>
      <c r="B203" s="255"/>
      <c r="C203" s="172" t="s">
        <v>8</v>
      </c>
      <c r="D203" s="124"/>
      <c r="E203" s="72">
        <f>31.65371</f>
        <v>31.65371</v>
      </c>
      <c r="F203" s="72">
        <f>716.20824</f>
        <v>716.20824000000005</v>
      </c>
      <c r="G203" s="72"/>
      <c r="H203" s="72">
        <f>1158.10403</f>
        <v>1158.10403</v>
      </c>
      <c r="I203" s="249"/>
      <c r="J203" s="117"/>
    </row>
    <row r="204" spans="1:10" ht="15" customHeight="1" x14ac:dyDescent="0.35">
      <c r="A204" s="1"/>
      <c r="B204" s="255"/>
      <c r="C204" s="172" t="s">
        <v>67</v>
      </c>
      <c r="D204" s="124"/>
      <c r="E204" s="124">
        <f>27.30582</f>
        <v>27.305820000000001</v>
      </c>
      <c r="F204" s="124">
        <f>377.5576</f>
        <v>377.55759999999998</v>
      </c>
      <c r="G204" s="168"/>
      <c r="H204" s="124">
        <f>330.5526</f>
        <v>330.55259999999998</v>
      </c>
      <c r="I204" s="249"/>
      <c r="J204" s="117"/>
    </row>
    <row r="205" spans="1:10" ht="15" customHeight="1" x14ac:dyDescent="0.35">
      <c r="A205" s="1"/>
      <c r="B205" s="255"/>
      <c r="C205" s="90" t="s">
        <v>117</v>
      </c>
      <c r="D205" s="124">
        <v>4613</v>
      </c>
      <c r="E205" s="72">
        <f>148.90896</f>
        <v>148.90896000000001</v>
      </c>
      <c r="F205" s="72">
        <f>1153.78381</f>
        <v>1153.7838099999999</v>
      </c>
      <c r="G205" s="72">
        <f>D205-F205</f>
        <v>3459.2161900000001</v>
      </c>
      <c r="H205" s="72">
        <f>1647.05413</f>
        <v>1647.05413</v>
      </c>
      <c r="I205" s="249"/>
      <c r="J205" s="117"/>
    </row>
    <row r="206" spans="1:10" ht="16.5" customHeight="1" x14ac:dyDescent="0.35">
      <c r="A206" s="1"/>
      <c r="B206" s="255"/>
      <c r="C206" s="179" t="s">
        <v>86</v>
      </c>
      <c r="D206" s="190">
        <f>D205+D202</f>
        <v>8600</v>
      </c>
      <c r="E206" s="190">
        <f>SUM(E202,E205)</f>
        <v>207.86849000000001</v>
      </c>
      <c r="F206" s="190">
        <f>SUM(F202,F205)</f>
        <v>2247.5496499999999</v>
      </c>
      <c r="G206" s="190">
        <f>D206-F206</f>
        <v>6352.4503500000001</v>
      </c>
      <c r="H206" s="190">
        <f>SUM(H202,H205)</f>
        <v>3135.7107599999999</v>
      </c>
      <c r="I206" s="249"/>
      <c r="J206" s="117"/>
    </row>
    <row r="207" spans="1:10" ht="19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2"/>
    </row>
    <row r="208" spans="1:10" ht="16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1" t="s">
        <v>114</v>
      </c>
      <c r="D209" s="164"/>
      <c r="E209" s="164"/>
      <c r="F209" s="164"/>
      <c r="G209" s="164"/>
      <c r="H209" s="1"/>
      <c r="I209" s="1"/>
      <c r="J209" s="1"/>
    </row>
    <row r="210" spans="1:10" ht="21.5" customHeight="1" x14ac:dyDescent="0.5">
      <c r="A210" s="145" t="s">
        <v>112</v>
      </c>
      <c r="B210" s="1"/>
      <c r="C210" s="211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27"/>
      <c r="D211" s="238"/>
      <c r="E211" s="238"/>
      <c r="F211" s="238"/>
      <c r="G211" s="238"/>
      <c r="H211" s="150"/>
      <c r="I211" s="150"/>
      <c r="J211" s="158"/>
    </row>
    <row r="212" spans="1:10" ht="23.25" customHeight="1" x14ac:dyDescent="0.35">
      <c r="A212" s="1"/>
      <c r="B212" s="255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55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55"/>
      <c r="C214" s="68" t="s">
        <v>16</v>
      </c>
      <c r="D214" s="79" t="s">
        <v>2</v>
      </c>
      <c r="E214" s="68" t="s">
        <v>149</v>
      </c>
      <c r="F214" s="68" t="s">
        <v>150</v>
      </c>
      <c r="G214" s="68" t="s">
        <v>151</v>
      </c>
      <c r="H214" s="68" t="s">
        <v>152</v>
      </c>
      <c r="I214" s="1"/>
      <c r="J214" s="117"/>
    </row>
    <row r="215" spans="1:10" ht="15" customHeight="1" x14ac:dyDescent="0.35">
      <c r="A215" s="1"/>
      <c r="B215" s="255"/>
      <c r="C215" s="90" t="s">
        <v>116</v>
      </c>
      <c r="D215" s="124">
        <v>5090</v>
      </c>
      <c r="E215" s="72">
        <f>E216+E217</f>
        <v>25.160299999999999</v>
      </c>
      <c r="F215" s="72">
        <f>F216+F217</f>
        <v>1140.7447299999999</v>
      </c>
      <c r="G215" s="72">
        <f>D215-F215</f>
        <v>3949.2552700000001</v>
      </c>
      <c r="H215" s="72">
        <f>H216+H217</f>
        <v>1196.76413</v>
      </c>
      <c r="I215" s="249"/>
      <c r="J215" s="117"/>
    </row>
    <row r="216" spans="1:10" ht="15" customHeight="1" x14ac:dyDescent="0.35">
      <c r="A216" s="1"/>
      <c r="B216" s="255"/>
      <c r="C216" s="172" t="s">
        <v>8</v>
      </c>
      <c r="D216" s="124"/>
      <c r="E216" s="72">
        <f>21.24218</f>
        <v>21.242180000000001</v>
      </c>
      <c r="F216" s="72">
        <f>943.2668</f>
        <v>943.26679999999999</v>
      </c>
      <c r="G216" s="72"/>
      <c r="H216" s="72">
        <f>948.80247</f>
        <v>948.80246999999997</v>
      </c>
      <c r="I216" s="249"/>
      <c r="J216" s="117"/>
    </row>
    <row r="217" spans="1:10" ht="15" customHeight="1" x14ac:dyDescent="0.35">
      <c r="A217" s="1"/>
      <c r="B217" s="255"/>
      <c r="C217" s="172" t="s">
        <v>67</v>
      </c>
      <c r="D217" s="124"/>
      <c r="E217" s="124">
        <f>3.91812</f>
        <v>3.91812</v>
      </c>
      <c r="F217" s="124">
        <f>197.47793</f>
        <v>197.47792999999999</v>
      </c>
      <c r="G217" s="168"/>
      <c r="H217" s="124">
        <f>247.96166</f>
        <v>247.96165999999999</v>
      </c>
      <c r="I217" s="249"/>
      <c r="J217" s="117"/>
    </row>
    <row r="218" spans="1:10" ht="15" customHeight="1" x14ac:dyDescent="0.35">
      <c r="A218" s="1"/>
      <c r="B218" s="255"/>
      <c r="C218" s="90" t="s">
        <v>117</v>
      </c>
      <c r="D218" s="124">
        <v>2981</v>
      </c>
      <c r="E218" s="72">
        <f>57.12054</f>
        <v>57.120539999999998</v>
      </c>
      <c r="F218" s="72">
        <f>884.36599</f>
        <v>884.36599000000001</v>
      </c>
      <c r="G218" s="72">
        <f>D218-F218</f>
        <v>2096.6340099999998</v>
      </c>
      <c r="H218" s="72">
        <f>1079.9555</f>
        <v>1079.9555</v>
      </c>
      <c r="I218" s="249"/>
      <c r="J218" s="117"/>
    </row>
    <row r="219" spans="1:10" ht="16.5" customHeight="1" x14ac:dyDescent="0.35">
      <c r="A219" s="1"/>
      <c r="B219" s="255"/>
      <c r="C219" s="179" t="s">
        <v>86</v>
      </c>
      <c r="D219" s="190">
        <f>D218+D215</f>
        <v>8071</v>
      </c>
      <c r="E219" s="190">
        <f>SUM(E215,E218)</f>
        <v>82.280839999999998</v>
      </c>
      <c r="F219" s="190">
        <f>SUM(F215,F218)</f>
        <v>2025.1107199999999</v>
      </c>
      <c r="G219" s="190">
        <f>D219-F219</f>
        <v>6045.8892800000003</v>
      </c>
      <c r="H219" s="190">
        <f>SUM(H215,H218)</f>
        <v>2276.7196300000001</v>
      </c>
      <c r="I219" s="249"/>
      <c r="J219" s="117"/>
    </row>
    <row r="220" spans="1:10" ht="19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2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15"/>
      <c r="B222" s="215"/>
      <c r="C222" s="220" t="s">
        <v>88</v>
      </c>
      <c r="D222" s="215"/>
      <c r="E222" s="215"/>
      <c r="F222" s="215"/>
      <c r="G222" s="215"/>
      <c r="H222" s="215"/>
      <c r="I222" s="215"/>
      <c r="J222" s="225"/>
    </row>
    <row r="223" spans="1:10" ht="21.5" customHeight="1" x14ac:dyDescent="0.35">
      <c r="A223" s="215" t="s">
        <v>112</v>
      </c>
      <c r="B223" s="215"/>
      <c r="C223" s="220"/>
      <c r="D223" s="215"/>
      <c r="E223" s="215"/>
      <c r="F223" s="215"/>
      <c r="G223" s="215"/>
      <c r="H223" s="215"/>
      <c r="I223" s="215"/>
      <c r="J223" s="225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55"/>
      <c r="C226" s="259" t="s">
        <v>83</v>
      </c>
      <c r="D226" s="270">
        <v>3003</v>
      </c>
      <c r="E226" s="145"/>
      <c r="F226" s="226"/>
      <c r="G226" s="1"/>
      <c r="H226" s="1"/>
      <c r="I226" s="1"/>
      <c r="J226" s="117"/>
    </row>
    <row r="227" spans="1:10" ht="14.15" customHeight="1" x14ac:dyDescent="0.35">
      <c r="A227" s="1"/>
      <c r="B227" s="255"/>
      <c r="C227" s="249" t="s">
        <v>89</v>
      </c>
      <c r="D227" s="46">
        <v>9419</v>
      </c>
      <c r="E227" s="145"/>
      <c r="F227" s="226"/>
      <c r="G227" s="1"/>
      <c r="H227" s="1"/>
      <c r="I227" s="1"/>
      <c r="J227" s="117"/>
    </row>
    <row r="228" spans="1:10" ht="14.15" customHeight="1" x14ac:dyDescent="0.35">
      <c r="A228" s="1"/>
      <c r="B228" s="255"/>
      <c r="C228" s="249" t="s">
        <v>90</v>
      </c>
      <c r="D228" s="46">
        <v>7106</v>
      </c>
      <c r="E228" s="145"/>
      <c r="F228" s="226"/>
      <c r="G228" s="1"/>
      <c r="H228" s="1"/>
      <c r="I228" s="1"/>
      <c r="J228" s="117"/>
    </row>
    <row r="229" spans="1:10" ht="13.5" customHeight="1" x14ac:dyDescent="0.35">
      <c r="A229" s="1"/>
      <c r="B229" s="255"/>
      <c r="C229" s="249" t="s">
        <v>118</v>
      </c>
      <c r="D229" s="46">
        <v>382</v>
      </c>
      <c r="E229" s="145"/>
      <c r="F229" s="226"/>
      <c r="G229" s="1"/>
      <c r="H229" s="1"/>
      <c r="I229" s="1"/>
      <c r="J229" s="117"/>
    </row>
    <row r="230" spans="1:10" ht="14.25" customHeight="1" x14ac:dyDescent="0.35">
      <c r="A230" s="1"/>
      <c r="B230" s="255"/>
      <c r="C230" s="57" t="s">
        <v>49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55"/>
      <c r="C231" s="229" t="s">
        <v>91</v>
      </c>
      <c r="D231" s="230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55"/>
      <c r="C232" s="101" t="s">
        <v>101</v>
      </c>
      <c r="D232" s="231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55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32"/>
      <c r="C234" s="235" t="s">
        <v>15</v>
      </c>
      <c r="D234" s="235"/>
      <c r="E234" s="235"/>
      <c r="F234" s="235"/>
      <c r="G234" s="235"/>
      <c r="H234" s="235"/>
      <c r="I234" s="235"/>
      <c r="J234" s="239"/>
    </row>
    <row r="235" spans="1:10" ht="14.15" customHeight="1" x14ac:dyDescent="0.35">
      <c r="A235" s="1"/>
      <c r="B235" s="241"/>
      <c r="C235" s="243"/>
      <c r="D235" s="243"/>
      <c r="E235" s="243"/>
      <c r="F235" s="243"/>
      <c r="G235" s="243"/>
      <c r="H235" s="243"/>
      <c r="I235" s="243"/>
      <c r="J235" s="117"/>
    </row>
    <row r="236" spans="1:10" ht="54" customHeight="1" x14ac:dyDescent="0.35">
      <c r="A236" s="1"/>
      <c r="B236" s="255"/>
      <c r="C236" s="68" t="s">
        <v>16</v>
      </c>
      <c r="D236" s="244" t="s">
        <v>2</v>
      </c>
      <c r="E236" s="68" t="s">
        <v>149</v>
      </c>
      <c r="F236" s="68" t="s">
        <v>150</v>
      </c>
      <c r="G236" s="68" t="s">
        <v>151</v>
      </c>
      <c r="H236" s="68" t="s">
        <v>152</v>
      </c>
      <c r="I236" s="1"/>
      <c r="J236" s="111"/>
    </row>
    <row r="237" spans="1:10" ht="14.15" customHeight="1" x14ac:dyDescent="0.35">
      <c r="A237" s="65"/>
      <c r="B237" s="75"/>
      <c r="C237" s="90" t="s">
        <v>92</v>
      </c>
      <c r="D237" s="124">
        <v>800</v>
      </c>
      <c r="E237" s="124">
        <f>4.93358</f>
        <v>4.9335800000000001</v>
      </c>
      <c r="F237" s="124">
        <f>96.64232</f>
        <v>96.642319999999998</v>
      </c>
      <c r="G237" s="124">
        <f>D237-F237</f>
        <v>703.35767999999996</v>
      </c>
      <c r="H237" s="124">
        <f>142.01586</f>
        <v>142.01586</v>
      </c>
      <c r="I237" s="65"/>
      <c r="J237" s="245"/>
    </row>
    <row r="238" spans="1:10" ht="14.15" customHeight="1" x14ac:dyDescent="0.35">
      <c r="A238" s="1"/>
      <c r="B238" s="255"/>
      <c r="C238" s="90" t="s">
        <v>93</v>
      </c>
      <c r="D238" s="247">
        <v>2193</v>
      </c>
      <c r="E238" s="124">
        <f>11.93572</f>
        <v>11.93572</v>
      </c>
      <c r="F238" s="124">
        <f>208.09577</f>
        <v>208.09576999999999</v>
      </c>
      <c r="G238" s="124">
        <f>D238-F238</f>
        <v>1984.9042300000001</v>
      </c>
      <c r="H238" s="124">
        <f>343.11004</f>
        <v>343.11004000000003</v>
      </c>
      <c r="I238" s="173"/>
      <c r="J238" s="111"/>
    </row>
    <row r="239" spans="1:10" ht="16.5" customHeight="1" x14ac:dyDescent="0.35">
      <c r="A239" s="65"/>
      <c r="B239" s="75"/>
      <c r="C239" s="146" t="s">
        <v>80</v>
      </c>
      <c r="D239" s="247">
        <v>10</v>
      </c>
      <c r="E239" s="168">
        <f>0</f>
        <v>0</v>
      </c>
      <c r="F239" s="168">
        <f>0.05414</f>
        <v>5.4140000000000001E-2</v>
      </c>
      <c r="G239" s="124">
        <f>D239-F239</f>
        <v>9.9458599999999997</v>
      </c>
      <c r="H239" s="168">
        <f>0.61006</f>
        <v>0.61006000000000005</v>
      </c>
      <c r="I239" s="65"/>
      <c r="J239" s="250"/>
    </row>
    <row r="240" spans="1:10" ht="18.75" customHeight="1" x14ac:dyDescent="0.35">
      <c r="A240" s="65"/>
      <c r="B240" s="251"/>
      <c r="C240" s="146" t="s">
        <v>94</v>
      </c>
      <c r="D240" s="223"/>
      <c r="E240" s="168">
        <f>0</f>
        <v>0</v>
      </c>
      <c r="F240" s="168">
        <f>0.018</f>
        <v>1.7999999999999999E-2</v>
      </c>
      <c r="G240" s="124">
        <f>D240-F240</f>
        <v>-1.7999999999999999E-2</v>
      </c>
      <c r="H240" s="168">
        <f>0.047</f>
        <v>4.7E-2</v>
      </c>
      <c r="I240" s="283"/>
      <c r="J240" s="117"/>
    </row>
    <row r="241" spans="1:10" ht="14.15" customHeight="1" x14ac:dyDescent="0.35">
      <c r="A241" s="1"/>
      <c r="B241" s="255"/>
      <c r="C241" s="179" t="s">
        <v>86</v>
      </c>
      <c r="D241" s="5">
        <f>D226</f>
        <v>3003</v>
      </c>
      <c r="E241" s="190">
        <f>SUM(E237:E240)</f>
        <v>16.869299999999999</v>
      </c>
      <c r="F241" s="190">
        <f>SUM(F237:F240)</f>
        <v>304.81022999999999</v>
      </c>
      <c r="G241" s="190">
        <f>D241-F241</f>
        <v>2698.18977</v>
      </c>
      <c r="H241" s="190">
        <f>H237+H238+H239+H240</f>
        <v>485.78296</v>
      </c>
      <c r="I241" s="1"/>
      <c r="J241" s="117"/>
    </row>
    <row r="242" spans="1:10" ht="14.15" customHeight="1" x14ac:dyDescent="0.35">
      <c r="A242" s="1"/>
      <c r="B242" s="255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" customHeight="1" x14ac:dyDescent="0.35">
      <c r="A244" s="1"/>
      <c r="C244" s="145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15"/>
      <c r="B246" s="1"/>
      <c r="C246" s="211" t="s">
        <v>95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40"/>
      <c r="D247" s="240"/>
      <c r="E247" s="240"/>
      <c r="F247" s="240"/>
      <c r="G247" s="240"/>
      <c r="H247" s="240"/>
      <c r="I247" s="240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96</v>
      </c>
      <c r="F249" s="180"/>
      <c r="G249" s="144" t="s">
        <v>97</v>
      </c>
      <c r="H249" s="180"/>
      <c r="I249" s="145"/>
      <c r="J249" s="127"/>
    </row>
    <row r="250" spans="1:10" ht="14.25" customHeight="1" x14ac:dyDescent="0.35">
      <c r="B250" s="69"/>
      <c r="C250" s="259" t="s">
        <v>83</v>
      </c>
      <c r="D250" s="270">
        <f>37252+1500-880</f>
        <v>37872</v>
      </c>
      <c r="E250" s="253" t="s">
        <v>4</v>
      </c>
      <c r="F250" s="99">
        <v>24359</v>
      </c>
      <c r="G250" s="249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49" t="s">
        <v>90</v>
      </c>
      <c r="D251" s="46">
        <f>25446+880-1500</f>
        <v>24826</v>
      </c>
      <c r="E251" s="173" t="s">
        <v>93</v>
      </c>
      <c r="F251" s="45">
        <v>8000</v>
      </c>
      <c r="G251" s="249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49" t="s">
        <v>89</v>
      </c>
      <c r="D252" s="46">
        <v>8940</v>
      </c>
      <c r="E252" s="173" t="s">
        <v>59</v>
      </c>
      <c r="F252" s="45">
        <v>5500</v>
      </c>
      <c r="G252" s="249" t="s">
        <v>98</v>
      </c>
      <c r="H252" s="46">
        <v>5043</v>
      </c>
      <c r="I252" s="145"/>
      <c r="J252" s="127"/>
    </row>
    <row r="253" spans="1:10" ht="14.15" customHeight="1" x14ac:dyDescent="0.35">
      <c r="B253" s="69"/>
      <c r="C253" s="249"/>
      <c r="D253" s="46"/>
      <c r="E253" s="128"/>
      <c r="F253" s="141"/>
      <c r="G253" s="249" t="s">
        <v>99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49</v>
      </c>
      <c r="D254" s="35">
        <v>71638</v>
      </c>
      <c r="E254" s="167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129</v>
      </c>
      <c r="D255" s="173"/>
      <c r="E255" s="173"/>
      <c r="F255" s="173"/>
      <c r="G255" s="1"/>
      <c r="H255" s="173"/>
      <c r="I255" s="173"/>
      <c r="J255" s="245"/>
    </row>
    <row r="256" spans="1:10" ht="13.4" customHeight="1" x14ac:dyDescent="0.35">
      <c r="B256" s="69"/>
      <c r="C256" s="205" t="s">
        <v>119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32"/>
      <c r="C259" s="235" t="s">
        <v>15</v>
      </c>
      <c r="D259" s="235"/>
      <c r="E259" s="235"/>
      <c r="F259" s="235"/>
      <c r="G259" s="235"/>
      <c r="H259" s="235"/>
      <c r="I259" s="235"/>
      <c r="J259" s="239"/>
    </row>
    <row r="260" spans="1:10" ht="18.75" customHeight="1" x14ac:dyDescent="0.35">
      <c r="B260" s="193"/>
      <c r="C260" s="225"/>
      <c r="D260" s="225"/>
      <c r="E260" s="225"/>
      <c r="F260" s="225"/>
      <c r="G260" s="225"/>
      <c r="H260" s="225"/>
      <c r="I260" s="225"/>
      <c r="J260" s="13"/>
    </row>
    <row r="261" spans="1:10" ht="64.5" customHeight="1" x14ac:dyDescent="0.35">
      <c r="B261" s="69"/>
      <c r="C261" s="224" t="s">
        <v>16</v>
      </c>
      <c r="D261" s="233" t="s">
        <v>17</v>
      </c>
      <c r="E261" s="68" t="s">
        <v>137</v>
      </c>
      <c r="F261" s="224" t="s">
        <v>149</v>
      </c>
      <c r="G261" s="224" t="s">
        <v>150</v>
      </c>
      <c r="H261" s="224" t="s">
        <v>151</v>
      </c>
      <c r="I261" s="224" t="s">
        <v>152</v>
      </c>
      <c r="J261" s="127"/>
    </row>
    <row r="262" spans="1:10" ht="14.15" customHeight="1" x14ac:dyDescent="0.35">
      <c r="A262" s="215"/>
      <c r="B262" s="69"/>
      <c r="C262" s="248" t="s">
        <v>19</v>
      </c>
      <c r="D262" s="252">
        <f t="shared" ref="D262:I262" si="17">D266+D265+D264+D263</f>
        <v>24359</v>
      </c>
      <c r="E262" s="252">
        <f t="shared" si="17"/>
        <v>27736</v>
      </c>
      <c r="F262" s="254">
        <f t="shared" si="17"/>
        <v>82.738399999999999</v>
      </c>
      <c r="G262" s="254">
        <f t="shared" si="17"/>
        <v>1369.1739400000001</v>
      </c>
      <c r="H262" s="254">
        <f>H266+H265+H264+H263</f>
        <v>26366.826059999999</v>
      </c>
      <c r="I262" s="254">
        <f t="shared" si="17"/>
        <v>4147.6322</v>
      </c>
      <c r="J262" s="127"/>
    </row>
    <row r="263" spans="1:10" ht="14.15" customHeight="1" x14ac:dyDescent="0.35">
      <c r="A263" s="215"/>
      <c r="B263" s="69"/>
      <c r="C263" s="256" t="s">
        <v>102</v>
      </c>
      <c r="D263" s="257">
        <v>14132</v>
      </c>
      <c r="E263" s="257">
        <v>16670</v>
      </c>
      <c r="F263" s="258">
        <f>0</f>
        <v>0</v>
      </c>
      <c r="G263" s="258">
        <f>545.74539</f>
        <v>545.74539000000004</v>
      </c>
      <c r="H263" s="258">
        <f t="shared" ref="H263:H267" si="18">E263-G263</f>
        <v>16124.25461</v>
      </c>
      <c r="I263" s="258">
        <f>3242.01051</f>
        <v>3242.0105100000001</v>
      </c>
      <c r="J263" s="127"/>
    </row>
    <row r="264" spans="1:10" ht="14.15" customHeight="1" x14ac:dyDescent="0.35">
      <c r="A264" s="215"/>
      <c r="B264" s="69"/>
      <c r="C264" s="260" t="s">
        <v>21</v>
      </c>
      <c r="D264" s="257">
        <v>3678</v>
      </c>
      <c r="E264" s="257">
        <v>4339</v>
      </c>
      <c r="F264" s="258">
        <f>0</f>
        <v>0</v>
      </c>
      <c r="G264" s="258">
        <f>121.905</f>
        <v>121.905</v>
      </c>
      <c r="H264" s="258">
        <f t="shared" si="18"/>
        <v>4217.0950000000003</v>
      </c>
      <c r="I264" s="258">
        <f>253.9944</f>
        <v>253.99440000000001</v>
      </c>
      <c r="J264" s="127"/>
    </row>
    <row r="265" spans="1:10" ht="14.15" customHeight="1" x14ac:dyDescent="0.35">
      <c r="A265" s="215"/>
      <c r="B265" s="69"/>
      <c r="C265" s="260" t="s">
        <v>99</v>
      </c>
      <c r="D265" s="257">
        <v>1506</v>
      </c>
      <c r="E265" s="257">
        <v>1571</v>
      </c>
      <c r="F265" s="258">
        <f>31.2486</f>
        <v>31.2486</v>
      </c>
      <c r="G265" s="258">
        <f>372.06836</f>
        <v>372.06835999999998</v>
      </c>
      <c r="H265" s="258">
        <f t="shared" si="18"/>
        <v>1198.93164</v>
      </c>
      <c r="I265" s="258">
        <f>622.73029</f>
        <v>622.73028999999997</v>
      </c>
      <c r="J265" s="127"/>
    </row>
    <row r="266" spans="1:10" ht="14.15" customHeight="1" x14ac:dyDescent="0.35">
      <c r="A266" s="215"/>
      <c r="B266" s="69"/>
      <c r="C266" s="262" t="s">
        <v>122</v>
      </c>
      <c r="D266" s="263">
        <v>5043</v>
      </c>
      <c r="E266" s="263">
        <v>5156</v>
      </c>
      <c r="F266" s="258">
        <f>51.4898</f>
        <v>51.489800000000002</v>
      </c>
      <c r="G266" s="258">
        <f>329.45519</f>
        <v>329.45519000000002</v>
      </c>
      <c r="H266" s="258">
        <f t="shared" si="18"/>
        <v>4826.5448100000003</v>
      </c>
      <c r="I266" s="258">
        <f>28.897</f>
        <v>28.896999999999998</v>
      </c>
      <c r="J266" s="127"/>
    </row>
    <row r="267" spans="1:10" ht="14.15" customHeight="1" x14ac:dyDescent="0.35">
      <c r="A267" s="215"/>
      <c r="B267" s="69"/>
      <c r="C267" s="265" t="s">
        <v>59</v>
      </c>
      <c r="D267" s="266">
        <v>5500</v>
      </c>
      <c r="E267" s="266">
        <v>5500</v>
      </c>
      <c r="F267" s="268">
        <f>10.77992</f>
        <v>10.779920000000001</v>
      </c>
      <c r="G267" s="268">
        <f>30.65992</f>
        <v>30.65992</v>
      </c>
      <c r="H267" s="268">
        <f t="shared" si="18"/>
        <v>5469.3400799999999</v>
      </c>
      <c r="I267" s="268">
        <f>0.971</f>
        <v>0.97099999999999997</v>
      </c>
      <c r="J267" s="127"/>
    </row>
    <row r="268" spans="1:10" ht="14.15" customHeight="1" x14ac:dyDescent="0.35">
      <c r="A268" s="215"/>
      <c r="B268" s="69"/>
      <c r="C268" s="248" t="s">
        <v>22</v>
      </c>
      <c r="D268" s="252">
        <v>8000</v>
      </c>
      <c r="E268" s="252">
        <v>8000</v>
      </c>
      <c r="F268" s="269">
        <f>F270+F269</f>
        <v>21.280429999999999</v>
      </c>
      <c r="G268" s="269">
        <f>G270+G269</f>
        <v>1028.6533999999999</v>
      </c>
      <c r="H268" s="269">
        <f>E268-G268</f>
        <v>6971.3465999999999</v>
      </c>
      <c r="I268" s="269">
        <f>I270+I269</f>
        <v>1176.68715</v>
      </c>
      <c r="J268" s="127"/>
    </row>
    <row r="269" spans="1:10" ht="14.15" customHeight="1" x14ac:dyDescent="0.35">
      <c r="A269" s="215"/>
      <c r="B269" s="69"/>
      <c r="C269" s="260" t="s">
        <v>53</v>
      </c>
      <c r="D269" s="271"/>
      <c r="E269" s="257"/>
      <c r="F269" s="258">
        <f>0</f>
        <v>0</v>
      </c>
      <c r="G269" s="258">
        <f>446.46788</f>
        <v>446.46787999999998</v>
      </c>
      <c r="H269" s="258"/>
      <c r="I269" s="258">
        <f>517.07376</f>
        <v>517.07375999999999</v>
      </c>
      <c r="J269" s="127"/>
    </row>
    <row r="270" spans="1:10" ht="14.15" customHeight="1" x14ac:dyDescent="0.35">
      <c r="A270" s="215"/>
      <c r="B270" s="69"/>
      <c r="C270" s="273" t="s">
        <v>103</v>
      </c>
      <c r="D270" s="274"/>
      <c r="E270" s="276"/>
      <c r="F270" s="277">
        <f>21.28043</f>
        <v>21.280429999999999</v>
      </c>
      <c r="G270" s="277">
        <f>582.18552</f>
        <v>582.18552</v>
      </c>
      <c r="H270" s="277"/>
      <c r="I270" s="277">
        <f>659.61339</f>
        <v>659.61338999999998</v>
      </c>
      <c r="J270" s="127"/>
    </row>
    <row r="271" spans="1:10" ht="14.15" customHeight="1" x14ac:dyDescent="0.35">
      <c r="A271" s="215"/>
      <c r="B271" s="69"/>
      <c r="C271" s="265" t="s">
        <v>34</v>
      </c>
      <c r="D271" s="266">
        <v>13</v>
      </c>
      <c r="E271" s="266">
        <v>13</v>
      </c>
      <c r="F271" s="268">
        <f>0</f>
        <v>0</v>
      </c>
      <c r="G271" s="268">
        <f>0.0135</f>
        <v>1.35E-2</v>
      </c>
      <c r="H271" s="268">
        <f>E271-G271</f>
        <v>12.986499999999999</v>
      </c>
      <c r="I271" s="268">
        <f>0.0264</f>
        <v>2.64E-2</v>
      </c>
      <c r="J271" s="127"/>
    </row>
    <row r="272" spans="1:10" ht="14.15" customHeight="1" x14ac:dyDescent="0.35">
      <c r="A272" s="215"/>
      <c r="B272" s="69"/>
      <c r="C272" s="278" t="s">
        <v>104</v>
      </c>
      <c r="D272" s="281"/>
      <c r="E272" s="282"/>
      <c r="F272" s="268">
        <f>0.04837</f>
        <v>4.8370000000000003E-2</v>
      </c>
      <c r="G272" s="268">
        <f>3.90442</f>
        <v>3.90442</v>
      </c>
      <c r="H272" s="268">
        <f>E272-G272</f>
        <v>-3.90442</v>
      </c>
      <c r="I272" s="268">
        <f>3.9836</f>
        <v>3.9836</v>
      </c>
      <c r="J272" s="127"/>
    </row>
    <row r="273" spans="1:10" ht="19.5" customHeight="1" x14ac:dyDescent="0.35">
      <c r="A273" s="215"/>
      <c r="B273" s="69"/>
      <c r="C273" s="284" t="s">
        <v>40</v>
      </c>
      <c r="D273" s="285">
        <f>D262+D267+D268+D271+D272</f>
        <v>37872</v>
      </c>
      <c r="E273" s="285">
        <f>E262+E267+E268+E271+E272</f>
        <v>41249</v>
      </c>
      <c r="F273" s="286">
        <f t="shared" ref="F273:I273" si="19">F262+F267+F268+F271+F272</f>
        <v>114.84712</v>
      </c>
      <c r="G273" s="286">
        <f t="shared" si="19"/>
        <v>2432.4051799999997</v>
      </c>
      <c r="H273" s="286">
        <f>H262+H267+H268+H271+H272</f>
        <v>38816.594819999998</v>
      </c>
      <c r="I273" s="286">
        <f t="shared" si="19"/>
        <v>5329.3003499999986</v>
      </c>
      <c r="J273" s="127"/>
    </row>
    <row r="274" spans="1:10" ht="14.15" customHeight="1" x14ac:dyDescent="0.35">
      <c r="A274" s="215"/>
      <c r="B274" s="69"/>
      <c r="C274" s="156" t="s">
        <v>105</v>
      </c>
      <c r="D274" s="288"/>
      <c r="E274" s="288"/>
      <c r="F274" s="3"/>
      <c r="G274" s="3"/>
      <c r="H274" s="4"/>
      <c r="I274" s="4"/>
      <c r="J274" s="127"/>
    </row>
    <row r="275" spans="1:10" ht="14.15" customHeight="1" x14ac:dyDescent="0.35">
      <c r="A275" s="215"/>
      <c r="B275" s="69"/>
      <c r="C275" s="101" t="s">
        <v>130</v>
      </c>
      <c r="D275" s="288"/>
      <c r="E275" s="288"/>
      <c r="F275" s="3"/>
      <c r="G275" s="3"/>
      <c r="H275" s="6"/>
      <c r="I275" s="4"/>
      <c r="J275" s="127"/>
    </row>
    <row r="276" spans="1:10" ht="14.15" customHeight="1" x14ac:dyDescent="0.35">
      <c r="A276" s="215"/>
      <c r="B276" s="69"/>
      <c r="C276" s="156" t="s">
        <v>139</v>
      </c>
      <c r="D276" s="288"/>
      <c r="E276" s="288"/>
      <c r="F276" s="3"/>
      <c r="G276" s="3"/>
      <c r="H276" s="4"/>
      <c r="I276" s="6"/>
      <c r="J276" s="127"/>
    </row>
    <row r="277" spans="1:10" ht="15.75" customHeight="1" x14ac:dyDescent="0.35">
      <c r="A277" s="215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15"/>
      <c r="B278" s="145" t="s">
        <v>112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15"/>
      <c r="C279" s="145" t="s">
        <v>112</v>
      </c>
      <c r="D279" s="152"/>
    </row>
    <row r="280" spans="1:10" ht="14.15" customHeight="1" x14ac:dyDescent="0.35">
      <c r="A280" s="215"/>
      <c r="B280" s="120"/>
      <c r="C280" s="240"/>
      <c r="D280" s="16"/>
      <c r="E280" s="240"/>
      <c r="F280" s="240"/>
      <c r="G280" s="240"/>
      <c r="H280" s="240"/>
      <c r="I280" s="240"/>
      <c r="J280" s="58"/>
    </row>
    <row r="281" spans="1:10" ht="14.15" customHeight="1" x14ac:dyDescent="0.35">
      <c r="A281" s="215"/>
      <c r="B281" s="69"/>
      <c r="C281" s="220" t="s">
        <v>106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15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15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15"/>
      <c r="B284" s="69"/>
      <c r="C284" s="259" t="s">
        <v>6</v>
      </c>
      <c r="D284" s="270">
        <v>2681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15"/>
      <c r="B285" s="69"/>
      <c r="C285" s="249" t="s">
        <v>90</v>
      </c>
      <c r="D285" s="46">
        <v>1753</v>
      </c>
      <c r="E285" s="145"/>
      <c r="G285" s="145"/>
      <c r="H285" s="145"/>
      <c r="I285" s="145"/>
      <c r="J285" s="127"/>
    </row>
    <row r="286" spans="1:10" ht="14.15" customHeight="1" x14ac:dyDescent="0.35">
      <c r="A286" s="215"/>
      <c r="B286" s="69"/>
      <c r="C286" s="249" t="s">
        <v>73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15"/>
      <c r="B287" s="69"/>
      <c r="C287" s="57" t="s">
        <v>49</v>
      </c>
      <c r="D287" s="35">
        <v>4557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15"/>
      <c r="B288" s="69"/>
      <c r="C288" s="300" t="s">
        <v>120</v>
      </c>
      <c r="D288" s="300"/>
      <c r="E288" s="300"/>
      <c r="F288" s="300"/>
      <c r="G288" s="208"/>
      <c r="H288" s="208"/>
      <c r="I288" s="145"/>
      <c r="J288" s="127"/>
    </row>
    <row r="289" spans="1:10" ht="14.15" customHeight="1" x14ac:dyDescent="0.35">
      <c r="A289" s="215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15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15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15"/>
      <c r="B292" s="232"/>
      <c r="C292" s="235" t="s">
        <v>15</v>
      </c>
      <c r="D292" s="235"/>
      <c r="E292" s="235"/>
      <c r="F292" s="235"/>
      <c r="G292" s="235"/>
      <c r="H292" s="235"/>
      <c r="I292" s="235"/>
      <c r="J292" s="239"/>
    </row>
    <row r="293" spans="1:10" ht="78" customHeight="1" x14ac:dyDescent="0.35">
      <c r="A293" s="215"/>
      <c r="B293" s="193"/>
      <c r="C293" s="19" t="s">
        <v>107</v>
      </c>
      <c r="D293" s="21" t="s">
        <v>108</v>
      </c>
      <c r="E293" s="19" t="s">
        <v>149</v>
      </c>
      <c r="F293" s="19" t="s">
        <v>150</v>
      </c>
      <c r="G293" s="23" t="s">
        <v>151</v>
      </c>
      <c r="H293" s="19" t="s">
        <v>152</v>
      </c>
      <c r="I293" s="225"/>
      <c r="J293" s="13"/>
    </row>
    <row r="294" spans="1:10" ht="14.15" customHeight="1" x14ac:dyDescent="0.35">
      <c r="A294" s="215"/>
      <c r="B294" s="69"/>
      <c r="C294" s="265" t="s">
        <v>109</v>
      </c>
      <c r="D294" s="197">
        <v>894</v>
      </c>
      <c r="E294" s="25">
        <f>SUM(E295:E296)</f>
        <v>0</v>
      </c>
      <c r="F294" s="25">
        <f>SUM(F295:F296)</f>
        <v>1023.20588</v>
      </c>
      <c r="G294" s="82">
        <f>D294-F294</f>
        <v>-129.20587999999998</v>
      </c>
      <c r="H294" s="25">
        <f>SUM(H295:H296)</f>
        <v>988.40122999999994</v>
      </c>
      <c r="I294" s="26"/>
      <c r="J294" s="127"/>
    </row>
    <row r="295" spans="1:10" ht="14.15" customHeight="1" x14ac:dyDescent="0.35">
      <c r="A295" s="215"/>
      <c r="B295" s="69"/>
      <c r="C295" s="28" t="s">
        <v>8</v>
      </c>
      <c r="E295" s="198">
        <f>0</f>
        <v>0</v>
      </c>
      <c r="F295" s="198">
        <f>778.94708</f>
        <v>778.94708000000003</v>
      </c>
      <c r="G295" s="199"/>
      <c r="H295" s="198">
        <f>753.71223</f>
        <v>753.71222999999998</v>
      </c>
      <c r="I295" s="145"/>
      <c r="J295" s="127"/>
    </row>
    <row r="296" spans="1:10" ht="14.15" customHeight="1" x14ac:dyDescent="0.35">
      <c r="A296" s="215"/>
      <c r="B296" s="69"/>
      <c r="C296" s="28" t="s">
        <v>11</v>
      </c>
      <c r="D296" s="200"/>
      <c r="E296" s="202">
        <f>0</f>
        <v>0</v>
      </c>
      <c r="F296" s="202">
        <f>244.2588</f>
        <v>244.25880000000001</v>
      </c>
      <c r="G296" s="203"/>
      <c r="H296" s="202">
        <f>234.689</f>
        <v>234.68899999999999</v>
      </c>
      <c r="I296" s="145"/>
      <c r="J296" s="127"/>
    </row>
    <row r="297" spans="1:10" ht="14.15" customHeight="1" x14ac:dyDescent="0.35">
      <c r="A297" s="215"/>
      <c r="B297" s="69"/>
      <c r="C297" s="265" t="s">
        <v>110</v>
      </c>
      <c r="D297" s="9">
        <v>894</v>
      </c>
      <c r="E297" s="25">
        <f>SUM(E298:E299)</f>
        <v>0</v>
      </c>
      <c r="F297" s="25">
        <f>SUM(F298:F299)</f>
        <v>989.12424999999996</v>
      </c>
      <c r="G297" s="82">
        <f>D297-F297</f>
        <v>-95.124249999999961</v>
      </c>
      <c r="H297" s="25">
        <f>SUM(H298:H299)</f>
        <v>1222.0429799999999</v>
      </c>
      <c r="I297" s="26"/>
      <c r="J297" s="127"/>
    </row>
    <row r="298" spans="1:10" ht="14.15" customHeight="1" x14ac:dyDescent="0.35">
      <c r="A298" s="215"/>
      <c r="B298" s="69"/>
      <c r="C298" s="28" t="s">
        <v>8</v>
      </c>
      <c r="D298" s="41"/>
      <c r="E298" s="29">
        <f>0</f>
        <v>0</v>
      </c>
      <c r="F298" s="29">
        <f>767.02923</f>
        <v>767.02922999999998</v>
      </c>
      <c r="G298" s="94"/>
      <c r="H298" s="29">
        <f>982.54229</f>
        <v>982.54228999999998</v>
      </c>
      <c r="I298" s="145"/>
      <c r="J298" s="127"/>
    </row>
    <row r="299" spans="1:10" ht="14.15" customHeight="1" x14ac:dyDescent="0.35">
      <c r="A299" s="215"/>
      <c r="B299" s="69"/>
      <c r="C299" s="28" t="s">
        <v>11</v>
      </c>
      <c r="D299" s="222"/>
      <c r="E299" s="29">
        <f>0</f>
        <v>0</v>
      </c>
      <c r="F299" s="29">
        <f>222.09502</f>
        <v>222.09502000000001</v>
      </c>
      <c r="G299" s="105"/>
      <c r="H299" s="29">
        <f>239.50069</f>
        <v>239.50068999999999</v>
      </c>
      <c r="I299" s="145"/>
      <c r="J299" s="127"/>
    </row>
    <row r="300" spans="1:10" ht="14.15" customHeight="1" x14ac:dyDescent="0.35">
      <c r="A300" s="215"/>
      <c r="B300" s="69"/>
      <c r="C300" s="265" t="s">
        <v>111</v>
      </c>
      <c r="D300" s="9">
        <v>893</v>
      </c>
      <c r="E300" s="34">
        <f>SUM(E301:E302)</f>
        <v>50.948180000000008</v>
      </c>
      <c r="F300" s="34">
        <f>SUM(F301:F302)</f>
        <v>231.11454000000001</v>
      </c>
      <c r="G300" s="82">
        <f>D300-F300</f>
        <v>661.88545999999997</v>
      </c>
      <c r="H300" s="34">
        <f>SUM(H301:H302)</f>
        <v>289.16336999999999</v>
      </c>
      <c r="I300" s="145"/>
      <c r="J300" s="127"/>
    </row>
    <row r="301" spans="1:10" ht="14.15" customHeight="1" x14ac:dyDescent="0.35">
      <c r="A301" s="215"/>
      <c r="B301" s="69"/>
      <c r="C301" s="28" t="s">
        <v>8</v>
      </c>
      <c r="D301" s="41"/>
      <c r="E301" s="29">
        <f>37.2165</f>
        <v>37.216500000000003</v>
      </c>
      <c r="F301" s="29">
        <f>162.7526</f>
        <v>162.7526</v>
      </c>
      <c r="G301" s="94"/>
      <c r="H301" s="29">
        <f>195.52764</f>
        <v>195.52763999999999</v>
      </c>
      <c r="I301" s="145"/>
      <c r="J301" s="127"/>
    </row>
    <row r="302" spans="1:10" ht="14.15" customHeight="1" x14ac:dyDescent="0.35">
      <c r="A302" s="215"/>
      <c r="B302" s="69"/>
      <c r="C302" s="28" t="s">
        <v>11</v>
      </c>
      <c r="D302" s="222"/>
      <c r="E302" s="29">
        <f>13.73168</f>
        <v>13.731680000000001</v>
      </c>
      <c r="F302" s="29">
        <f>68.36194</f>
        <v>68.361940000000004</v>
      </c>
      <c r="G302" s="105"/>
      <c r="H302" s="29">
        <f>93.63573</f>
        <v>93.635729999999995</v>
      </c>
      <c r="I302" s="145"/>
      <c r="J302" s="127"/>
    </row>
    <row r="303" spans="1:10" ht="14.15" customHeight="1" x14ac:dyDescent="0.35">
      <c r="A303" s="215"/>
      <c r="B303" s="69"/>
      <c r="C303" s="278" t="s">
        <v>94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15"/>
      <c r="B304" s="69"/>
      <c r="C304" s="284" t="s">
        <v>86</v>
      </c>
      <c r="D304" s="38">
        <f>D294+D297+D300</f>
        <v>2681</v>
      </c>
      <c r="E304" s="39">
        <f>E294+E297+E300+E303</f>
        <v>50.948180000000008</v>
      </c>
      <c r="F304" s="39">
        <f>F294+F297+F300+F303</f>
        <v>2243.4446699999999</v>
      </c>
      <c r="G304" s="40">
        <f>D304-F304</f>
        <v>437.55533000000014</v>
      </c>
      <c r="H304" s="39">
        <f>H294+H297+H300+H303</f>
        <v>2499.6075799999999</v>
      </c>
      <c r="I304" s="26"/>
      <c r="J304" s="127"/>
    </row>
    <row r="305" spans="1:10" ht="42" customHeight="1" x14ac:dyDescent="0.35">
      <c r="A305" s="215"/>
      <c r="B305" s="69"/>
      <c r="C305" s="291" t="s">
        <v>115</v>
      </c>
      <c r="D305" s="291"/>
      <c r="E305" s="291"/>
      <c r="F305" s="291"/>
      <c r="G305" s="291"/>
      <c r="H305" s="291"/>
      <c r="I305" s="291"/>
      <c r="J305" s="292"/>
    </row>
    <row r="306" spans="1:10" ht="14.15" customHeight="1" x14ac:dyDescent="0.35">
      <c r="A306" s="215"/>
      <c r="B306" s="7"/>
      <c r="C306" s="207"/>
      <c r="D306" s="194"/>
      <c r="E306" s="207"/>
      <c r="F306" s="207"/>
      <c r="G306" s="207"/>
      <c r="H306" s="207"/>
      <c r="I306" s="207"/>
      <c r="J306" s="11"/>
    </row>
    <row r="307" spans="1:10" ht="0" hidden="1" customHeight="1" x14ac:dyDescent="0.35"/>
    <row r="308" spans="1:10" ht="0" hidden="1" customHeight="1" x14ac:dyDescent="0.35"/>
    <row r="309" spans="1:10" ht="0" hidden="1" customHeight="1" x14ac:dyDescent="0.35"/>
    <row r="310" spans="1:10" ht="0" hidden="1" customHeight="1" x14ac:dyDescent="0.35"/>
    <row r="311" spans="1:10" ht="0" hidden="1" customHeight="1" x14ac:dyDescent="0.35"/>
    <row r="312" spans="1:10" ht="0" hidden="1" customHeight="1" x14ac:dyDescent="0.35"/>
    <row r="313" spans="1:10" ht="0" hidden="1" customHeight="1" x14ac:dyDescent="0.35"/>
    <row r="314" spans="1:10" ht="0" hidden="1" customHeight="1" x14ac:dyDescent="0.35"/>
    <row r="315" spans="1:10" ht="0" hidden="1" customHeight="1" x14ac:dyDescent="0.35"/>
    <row r="316" spans="1:10" ht="0" hidden="1" customHeight="1" x14ac:dyDescent="0.35"/>
    <row r="317" spans="1:10" ht="0" hidden="1" customHeight="1" x14ac:dyDescent="0.35"/>
    <row r="318" spans="1:10" ht="0" hidden="1" customHeight="1" x14ac:dyDescent="0.35"/>
    <row r="319" spans="1:10" ht="0" hidden="1" customHeight="1" x14ac:dyDescent="0.35"/>
    <row r="320" spans="1:10" ht="0" hidden="1" customHeight="1" x14ac:dyDescent="0.35"/>
    <row r="321" ht="0" hidden="1" customHeight="1" x14ac:dyDescent="0.35"/>
    <row r="322" ht="0" hidden="1" customHeight="1" x14ac:dyDescent="0.35"/>
    <row r="323" ht="0" hidden="1" customHeight="1" x14ac:dyDescent="0.35"/>
    <row r="324" ht="0" hidden="1" customHeight="1" x14ac:dyDescent="0.35"/>
    <row r="325" ht="0" hidden="1" customHeight="1" x14ac:dyDescent="0.35"/>
    <row r="326" ht="0" hidden="1" customHeight="1" x14ac:dyDescent="0.35"/>
    <row r="327" ht="0" hidden="1" customHeight="1" x14ac:dyDescent="0.35"/>
    <row r="328" ht="0" hidden="1" customHeight="1" x14ac:dyDescent="0.35"/>
    <row r="329" ht="0" hidden="1" customHeight="1" x14ac:dyDescent="0.35"/>
    <row r="330" ht="0" hidden="1" customHeight="1" x14ac:dyDescent="0.35"/>
    <row r="331" ht="0" hidden="1" customHeight="1" x14ac:dyDescent="0.35"/>
    <row r="332" ht="0" hidden="1" customHeight="1" x14ac:dyDescent="0.35"/>
    <row r="333" ht="0" hidden="1" customHeight="1" x14ac:dyDescent="0.35"/>
    <row r="334" ht="0" hidden="1" customHeight="1" x14ac:dyDescent="0.35"/>
    <row r="335" ht="0" hidden="1" customHeight="1" x14ac:dyDescent="0.35"/>
    <row r="336" ht="0" hidden="1" customHeight="1" x14ac:dyDescent="0.35"/>
    <row r="337" ht="0" hidden="1" customHeight="1" x14ac:dyDescent="0.35"/>
    <row r="338" ht="0" hidden="1" customHeight="1" x14ac:dyDescent="0.35"/>
    <row r="339" ht="0" hidden="1" customHeight="1" x14ac:dyDescent="0.35"/>
    <row r="340" ht="0" hidden="1" customHeight="1" x14ac:dyDescent="0.35"/>
    <row r="341" ht="0" hidden="1" customHeight="1" x14ac:dyDescent="0.35"/>
    <row r="342" ht="0" hidden="1" customHeight="1" x14ac:dyDescent="0.35"/>
    <row r="343" ht="0" hidden="1" customHeight="1" x14ac:dyDescent="0.35"/>
    <row r="344" ht="0" hidden="1" customHeight="1" x14ac:dyDescent="0.35"/>
    <row r="345" ht="0" hidden="1" customHeight="1" x14ac:dyDescent="0.35"/>
    <row r="346" ht="0" hidden="1" customHeight="1" x14ac:dyDescent="0.35"/>
    <row r="347" ht="0" hidden="1" customHeight="1" x14ac:dyDescent="0.35"/>
    <row r="348" ht="0" hidden="1" customHeight="1" x14ac:dyDescent="0.35"/>
    <row r="349" ht="0" hidden="1" customHeight="1" x14ac:dyDescent="0.35"/>
    <row r="350" ht="0" hidden="1" customHeight="1" x14ac:dyDescent="0.35"/>
    <row r="351" ht="0" hidden="1" customHeight="1" x14ac:dyDescent="0.35"/>
    <row r="352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16" customHeight="1" x14ac:dyDescent="0.35"/>
    <row r="65491" ht="16.5" customHeight="1" x14ac:dyDescent="0.35"/>
  </sheetData>
  <mergeCells count="15">
    <mergeCell ref="C17:H17"/>
    <mergeCell ref="B2:J2"/>
    <mergeCell ref="B9:J9"/>
    <mergeCell ref="C11:D11"/>
    <mergeCell ref="E11:F11"/>
    <mergeCell ref="G11:H11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13&amp;R31.03.2025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2025-03-31T07:55:39Z</dcterms:modified>
</cp:coreProperties>
</file>