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3\"/>
    </mc:Choice>
  </mc:AlternateContent>
  <xr:revisionPtr revIDLastSave="0" documentId="13_ncr:1_{D5AC7CD6-146F-464F-8AD4-A710C4231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19" i="1"/>
  <c r="F419" i="1"/>
  <c r="E419" i="1"/>
  <c r="H418" i="1"/>
  <c r="F418" i="1"/>
  <c r="E418" i="1"/>
  <c r="E417" i="1" s="1"/>
  <c r="H417" i="1"/>
  <c r="H416" i="1"/>
  <c r="F416" i="1"/>
  <c r="E416" i="1"/>
  <c r="H415" i="1"/>
  <c r="F415" i="1"/>
  <c r="F414" i="1" s="1"/>
  <c r="E415" i="1"/>
  <c r="H413" i="1"/>
  <c r="F413" i="1"/>
  <c r="E413" i="1"/>
  <c r="H412" i="1"/>
  <c r="F412" i="1"/>
  <c r="E412" i="1"/>
  <c r="I388" i="1"/>
  <c r="G388" i="1"/>
  <c r="H388" i="1" s="1"/>
  <c r="F388" i="1"/>
  <c r="I387" i="1"/>
  <c r="G387" i="1"/>
  <c r="H387" i="1" s="1"/>
  <c r="F387" i="1"/>
  <c r="I386" i="1"/>
  <c r="G386" i="1"/>
  <c r="F386" i="1"/>
  <c r="I385" i="1"/>
  <c r="I384" i="1" s="1"/>
  <c r="G385" i="1"/>
  <c r="F385" i="1"/>
  <c r="I383" i="1"/>
  <c r="G383" i="1"/>
  <c r="H383" i="1" s="1"/>
  <c r="F383" i="1"/>
  <c r="I382" i="1"/>
  <c r="G382" i="1"/>
  <c r="H382" i="1" s="1"/>
  <c r="F382" i="1"/>
  <c r="I381" i="1"/>
  <c r="H381" i="1"/>
  <c r="G381" i="1"/>
  <c r="F381" i="1"/>
  <c r="I380" i="1"/>
  <c r="G380" i="1"/>
  <c r="H380" i="1" s="1"/>
  <c r="F380" i="1"/>
  <c r="I379" i="1"/>
  <c r="G379" i="1"/>
  <c r="H379" i="1" s="1"/>
  <c r="F379" i="1"/>
  <c r="E378" i="1"/>
  <c r="E389" i="1" s="1"/>
  <c r="D378" i="1"/>
  <c r="D389" i="1" s="1"/>
  <c r="H370" i="1"/>
  <c r="F370" i="1"/>
  <c r="D352" i="1"/>
  <c r="H351" i="1"/>
  <c r="F351" i="1"/>
  <c r="E351" i="1"/>
  <c r="H350" i="1"/>
  <c r="F350" i="1"/>
  <c r="G350" i="1" s="1"/>
  <c r="E350" i="1"/>
  <c r="H349" i="1"/>
  <c r="F349" i="1"/>
  <c r="G349" i="1" s="1"/>
  <c r="E349" i="1"/>
  <c r="H348" i="1"/>
  <c r="F348" i="1"/>
  <c r="G348" i="1" s="1"/>
  <c r="E348" i="1"/>
  <c r="D341" i="1"/>
  <c r="H296" i="1"/>
  <c r="F296" i="1"/>
  <c r="E296" i="1"/>
  <c r="H295" i="1"/>
  <c r="F295" i="1"/>
  <c r="E295" i="1"/>
  <c r="H294" i="1"/>
  <c r="F294" i="1"/>
  <c r="E294" i="1"/>
  <c r="H251" i="1"/>
  <c r="F251" i="1"/>
  <c r="E251" i="1"/>
  <c r="H250" i="1"/>
  <c r="F250" i="1"/>
  <c r="E250" i="1"/>
  <c r="H249" i="1"/>
  <c r="F249" i="1"/>
  <c r="E249" i="1"/>
  <c r="D207" i="1"/>
  <c r="G206" i="1"/>
  <c r="H205" i="1"/>
  <c r="F205" i="1"/>
  <c r="G205" i="1" s="1"/>
  <c r="E205" i="1"/>
  <c r="H204" i="1"/>
  <c r="F204" i="1"/>
  <c r="E204" i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E179" i="1"/>
  <c r="H177" i="1"/>
  <c r="F177" i="1"/>
  <c r="G177" i="1" s="1"/>
  <c r="E177" i="1"/>
  <c r="H176" i="1"/>
  <c r="F176" i="1"/>
  <c r="E176" i="1"/>
  <c r="H175" i="1"/>
  <c r="F175" i="1"/>
  <c r="E175" i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H140" i="1" s="1"/>
  <c r="F140" i="1"/>
  <c r="E139" i="1"/>
  <c r="I138" i="1"/>
  <c r="H138" i="1"/>
  <c r="F138" i="1"/>
  <c r="I137" i="1"/>
  <c r="H137" i="1"/>
  <c r="F137" i="1"/>
  <c r="I136" i="1"/>
  <c r="G134" i="1"/>
  <c r="F136" i="1"/>
  <c r="I135" i="1"/>
  <c r="H135" i="1"/>
  <c r="F135" i="1"/>
  <c r="E134" i="1"/>
  <c r="I132" i="1"/>
  <c r="F132" i="1"/>
  <c r="H131" i="1"/>
  <c r="I130" i="1"/>
  <c r="G130" i="1"/>
  <c r="H130" i="1" s="1"/>
  <c r="F130" i="1"/>
  <c r="I129" i="1"/>
  <c r="H129" i="1"/>
  <c r="G129" i="1"/>
  <c r="F129" i="1"/>
  <c r="E128" i="1"/>
  <c r="C126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F97" i="1"/>
  <c r="E96" i="1"/>
  <c r="E95" i="1" s="1"/>
  <c r="D96" i="1"/>
  <c r="D95" i="1" s="1"/>
  <c r="D107" i="1" s="1"/>
  <c r="I94" i="1"/>
  <c r="G94" i="1"/>
  <c r="H94" i="1" s="1"/>
  <c r="F94" i="1"/>
  <c r="F92" i="1" s="1"/>
  <c r="I93" i="1"/>
  <c r="G93" i="1"/>
  <c r="H93" i="1" s="1"/>
  <c r="F93" i="1"/>
  <c r="E92" i="1"/>
  <c r="C89" i="1"/>
  <c r="H85" i="1"/>
  <c r="F85" i="1"/>
  <c r="D85" i="1"/>
  <c r="G61" i="1"/>
  <c r="G60" i="1"/>
  <c r="I32" i="1"/>
  <c r="F55" i="1"/>
  <c r="G55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F34" i="1" s="1"/>
  <c r="I35" i="1"/>
  <c r="G35" i="1"/>
  <c r="F35" i="1"/>
  <c r="I33" i="1"/>
  <c r="G33" i="1"/>
  <c r="H33" i="1" s="1"/>
  <c r="F33" i="1"/>
  <c r="G32" i="1"/>
  <c r="H32" i="1" s="1"/>
  <c r="F32" i="1"/>
  <c r="I31" i="1"/>
  <c r="G31" i="1"/>
  <c r="H31" i="1" s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I25" i="1"/>
  <c r="I23" i="1" s="1"/>
  <c r="H25" i="1"/>
  <c r="G25" i="1"/>
  <c r="F25" i="1"/>
  <c r="I24" i="1"/>
  <c r="G24" i="1"/>
  <c r="H24" i="1" s="1"/>
  <c r="F24" i="1"/>
  <c r="H16" i="1"/>
  <c r="F16" i="1"/>
  <c r="D16" i="1"/>
  <c r="I134" i="1" l="1"/>
  <c r="I133" i="1" s="1"/>
  <c r="I150" i="1" s="1"/>
  <c r="F23" i="1"/>
  <c r="H178" i="1"/>
  <c r="E414" i="1"/>
  <c r="F417" i="1"/>
  <c r="G27" i="1"/>
  <c r="I96" i="1"/>
  <c r="I95" i="1" s="1"/>
  <c r="G92" i="1"/>
  <c r="E252" i="1"/>
  <c r="I378" i="1"/>
  <c r="I389" i="1" s="1"/>
  <c r="H23" i="1"/>
  <c r="F128" i="1"/>
  <c r="G139" i="1"/>
  <c r="G133" i="1" s="1"/>
  <c r="E297" i="1"/>
  <c r="H414" i="1"/>
  <c r="F134" i="1"/>
  <c r="I34" i="1"/>
  <c r="I128" i="1"/>
  <c r="E133" i="1"/>
  <c r="F178" i="1"/>
  <c r="G178" i="1" s="1"/>
  <c r="H297" i="1"/>
  <c r="E352" i="1"/>
  <c r="H184" i="1"/>
  <c r="G23" i="1"/>
  <c r="G34" i="1"/>
  <c r="G26" i="1" s="1"/>
  <c r="G44" i="1" s="1"/>
  <c r="E107" i="1"/>
  <c r="H128" i="1"/>
  <c r="H207" i="1"/>
  <c r="H378" i="1"/>
  <c r="F139" i="1"/>
  <c r="G384" i="1"/>
  <c r="H384" i="1" s="1"/>
  <c r="E150" i="1"/>
  <c r="H139" i="1"/>
  <c r="H252" i="1"/>
  <c r="H352" i="1"/>
  <c r="F378" i="1"/>
  <c r="I92" i="1"/>
  <c r="I107" i="1" s="1"/>
  <c r="E178" i="1"/>
  <c r="E184" i="1" s="1"/>
  <c r="F207" i="1"/>
  <c r="G207" i="1" s="1"/>
  <c r="F252" i="1"/>
  <c r="G252" i="1" s="1"/>
  <c r="G378" i="1"/>
  <c r="F411" i="1"/>
  <c r="F96" i="1"/>
  <c r="F95" i="1" s="1"/>
  <c r="H411" i="1"/>
  <c r="H421" i="1" s="1"/>
  <c r="G96" i="1"/>
  <c r="G95" i="1" s="1"/>
  <c r="G128" i="1"/>
  <c r="F184" i="1"/>
  <c r="G184" i="1" s="1"/>
  <c r="E207" i="1"/>
  <c r="F297" i="1"/>
  <c r="G297" i="1" s="1"/>
  <c r="F384" i="1"/>
  <c r="E411" i="1"/>
  <c r="F27" i="1"/>
  <c r="F26" i="1" s="1"/>
  <c r="I27" i="1"/>
  <c r="H27" i="1"/>
  <c r="H35" i="1"/>
  <c r="E421" i="1"/>
  <c r="H92" i="1"/>
  <c r="H96" i="1"/>
  <c r="H95" i="1" s="1"/>
  <c r="F107" i="1"/>
  <c r="F389" i="1"/>
  <c r="F421" i="1"/>
  <c r="H34" i="1"/>
  <c r="H136" i="1"/>
  <c r="H134" i="1" s="1"/>
  <c r="G175" i="1"/>
  <c r="G204" i="1"/>
  <c r="F352" i="1"/>
  <c r="G352" i="1" s="1"/>
  <c r="I26" i="1" l="1"/>
  <c r="I44" i="1" s="1"/>
  <c r="G107" i="1"/>
  <c r="F133" i="1"/>
  <c r="F150" i="1" s="1"/>
  <c r="G150" i="1"/>
  <c r="F44" i="1"/>
  <c r="H133" i="1"/>
  <c r="H150" i="1" s="1"/>
  <c r="G389" i="1"/>
  <c r="H26" i="1"/>
  <c r="H44" i="1" s="1"/>
  <c r="H389" i="1"/>
  <c r="H107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<sst xmlns="http://schemas.openxmlformats.org/spreadsheetml/2006/main" count="358" uniqueCount="150">
  <si>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</si>
  <si>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</si>
  <si>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</si>
  <si>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</si>
  <si>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</si>
  <si>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</si>
  <si>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</si>
  <si>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</si>
  <si>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</si>
  <si>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</si>
  <si>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</si>
  <si>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</si>
  <si>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</si>
  <si>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</si>
  <si>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</si>
  <si>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</si>
  <si>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</si>
  <si>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</si>
  <si>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</si>
  <si>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</si>
  <si>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</si>
  <si>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</si>
  <si>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</si>
  <si>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</si>
  <si>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</si>
  <si>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</si>
  <si>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</si>
  <si>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</si>
  <si>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</si>
  <si>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</si>
  <si>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</si>
  <si>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</si>
  <si>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</si>
  <si>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</si>
  <si>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</si>
  <si>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</si>
  <si>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</si>
  <si>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</si>
  <si>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</si>
  <si>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</si>
  <si>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</si>
  <si>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</si>
  <si>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</si>
  <si>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</si>
  <si>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</si>
  <si>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</si>
  <si>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</si>
  <si>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</si>
  <si>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</si>
  <si>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</si>
  <si>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</si>
  <si>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</si>
  <si>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</si>
  <si>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</si>
  <si>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</si>
  <si>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</si>
  <si>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</si>
  <si>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</si>
  <si>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</si>
  <si>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</si>
  <si>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</si>
  <si>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</si>
  <si>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</si>
  <si>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</si>
  <si>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</si>
  <si>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</si>
  <si>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</si>
  <si>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</si>
  <si>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</si>
  <si>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</si>
  <si>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</si>
  <si>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</si>
  <si>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</si>
  <si>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</si>
  <si>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</si>
  <si>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</si>
  <si>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</si>
  <si>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</si>
  <si>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</si>
  <si>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</si>
  <si>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</si>
  <si>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</si>
  <si>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</si>
  <si>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</si>
  <si>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</si>
  <si>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</si>
  <si>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</si>
  <si>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</si>
  <si>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</si>
  <si>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</si>
  <si>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</si>
  <si>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</si>
  <si>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</si>
  <si>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</si>
  <si>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</si>
  <si>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</si>
  <si>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</si>
  <si>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</si>
  <si>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</si>
  <si>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</si>
  <si>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</si>
  <si>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</si>
  <si>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</si>
  <si>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</si>
  <si>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</si>
  <si>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</si>
  <si>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</si>
  <si>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</si>
  <si>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</si>
  <si>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</si>
  <si>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</si>
  <si>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</si>
  <si>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</si>
  <si>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</si>
  <si>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</si>
  <si>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</si>
  <si>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</si>
  <si>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</si>
  <si>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</si>
  <si>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</si>
  <si>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</si>
  <si>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</si>
  <si>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</si>
  <si>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</si>
  <si>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</si>
  <si>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</si>
  <si>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</si>
  <si>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</si>
  <si>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</si>
  <si>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</si>
  <si>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</si>
  <si>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</si>
  <si>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</si>
  <si>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</si>
  <si>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</si>
  <si>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</si>
  <si>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</si>
  <si>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</si>
  <si>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</si>
  <si>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</si>
  <si>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</si>
  <si>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</si>
  <si>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33</t>
  </si>
  <si>
    <t>FANGST T.O.M UKE 33</t>
  </si>
  <si>
    <t>RESTKVOTER UKE 33</t>
  </si>
  <si>
    <t>FANGST T.O.M UKE 33 2022</t>
  </si>
  <si>
    <r>
      <t xml:space="preserve">3 </t>
    </r>
    <r>
      <rPr>
        <sz val="9"/>
        <color indexed="8"/>
        <rFont val="Calibri"/>
        <family val="2"/>
      </rPr>
      <t>Registrert rekreasjonsfiske utgjør 672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</si>
  <si>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62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</si>
  <si>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5 241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</si>
  <si>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582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</si>
</sst>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4" tint="0.79998168889431442"/>
        <bgColor indexed="65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3" fontId="7" fillId="2" borderId="2" xfId="0" applyNumberFormat="1" applyFont="1" applyFill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3" xfId="0" applyFont="1" applyBorder="1"/>
    <xf numFmtId="0" fontId="8" fillId="0" borderId="4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/>
    </xf>
    <xf numFmtId="9" fontId="2" fillId="0" borderId="0" xfId="0" applyNumberFormat="1" applyFont="1"/>
    <xf numFmtId="3" fontId="9" fillId="0" borderId="15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/>
    </xf>
    <xf numFmtId="3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9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vertical="center" wrapText="1"/>
    </xf>
    <xf numFmtId="3" fontId="2" fillId="0" borderId="18" xfId="0" applyNumberFormat="1" applyFont="1" applyBorder="1" applyAlignment="1">
      <alignment horizontal="right" vertical="center" indent="1"/>
    </xf>
    <xf numFmtId="3" fontId="13" fillId="0" borderId="19" xfId="0" applyNumberFormat="1" applyFont="1" applyBorder="1" applyAlignment="1">
      <alignment horizontal="right" vertical="center"/>
    </xf>
    <xf numFmtId="3" fontId="16" fillId="0" borderId="20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vertical="center" wrapText="1"/>
    </xf>
    <xf numFmtId="3" fontId="14" fillId="0" borderId="8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vertical="center"/>
    </xf>
    <xf numFmtId="3" fontId="7" fillId="3" borderId="2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vertical="center" wrapText="1"/>
    </xf>
    <xf numFmtId="3" fontId="9" fillId="0" borderId="22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 indent="1"/>
    </xf>
    <xf numFmtId="0" fontId="2" fillId="0" borderId="24" xfId="0" applyFont="1" applyBorder="1" applyAlignment="1">
      <alignment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indent="1"/>
    </xf>
    <xf numFmtId="0" fontId="2" fillId="0" borderId="21" xfId="0" applyFont="1" applyBorder="1" applyAlignment="1">
      <alignment vertical="center" wrapText="1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3" fontId="2" fillId="0" borderId="29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" fillId="0" borderId="30" xfId="0" applyFont="1" applyBorder="1"/>
    <xf numFmtId="3" fontId="17" fillId="0" borderId="17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vertical="center" wrapText="1"/>
    </xf>
    <xf numFmtId="3" fontId="18" fillId="0" borderId="25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/>
    </xf>
    <xf numFmtId="0" fontId="7" fillId="2" borderId="1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31" xfId="0" applyFont="1" applyBorder="1" applyAlignment="1">
      <alignment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0" fontId="2" fillId="0" borderId="13" xfId="0" applyFont="1" applyBorder="1"/>
    <xf numFmtId="0" fontId="9" fillId="0" borderId="8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3" fontId="17" fillId="0" borderId="29" xfId="0" applyNumberFormat="1" applyFont="1" applyBorder="1" applyAlignment="1">
      <alignment horizontal="right" vertical="center" wrapText="1"/>
    </xf>
    <xf numFmtId="3" fontId="7" fillId="2" borderId="32" xfId="0" applyNumberFormat="1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3" fontId="13" fillId="0" borderId="22" xfId="0" applyNumberFormat="1" applyFont="1" applyBorder="1" applyAlignment="1">
      <alignment vertical="center"/>
    </xf>
    <xf numFmtId="3" fontId="9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2" fillId="0" borderId="33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7" fillId="2" borderId="40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2" fillId="0" borderId="19" xfId="0" applyNumberFormat="1" applyFont="1" applyBorder="1" applyAlignment="1">
      <alignment horizontal="right" vertical="center" indent="1"/>
    </xf>
    <xf numFmtId="0" fontId="2" fillId="0" borderId="3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2" fillId="0" borderId="36" xfId="0" applyNumberFormat="1" applyFont="1" applyBorder="1" applyAlignment="1">
      <alignment horizontal="right" vertical="center" indent="1"/>
    </xf>
    <xf numFmtId="0" fontId="2" fillId="0" borderId="7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17" fillId="0" borderId="41" xfId="0" applyNumberFormat="1" applyFont="1" applyBorder="1" applyAlignment="1">
      <alignment horizontal="right" vertical="center" wrapText="1"/>
    </xf>
    <xf numFmtId="0" fontId="2" fillId="0" borderId="42" xfId="0" applyFont="1" applyBorder="1"/>
    <xf numFmtId="3" fontId="17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1" xfId="0" applyFont="1" applyBorder="1"/>
    <xf numFmtId="3" fontId="23" fillId="0" borderId="0" xfId="0" applyNumberFormat="1" applyFont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4" fillId="0" borderId="4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3" fontId="9" fillId="0" borderId="32" xfId="0" applyNumberFormat="1" applyFont="1" applyBorder="1" applyAlignment="1">
      <alignment horizontal="right" vertical="center" wrapText="1"/>
    </xf>
    <xf numFmtId="0" fontId="9" fillId="0" borderId="37" xfId="0" applyFont="1" applyBorder="1" applyAlignment="1">
      <alignment vertical="center"/>
    </xf>
    <xf numFmtId="3" fontId="23" fillId="0" borderId="0" xfId="0" applyNumberFormat="1" applyFont="1" applyAlignment="1">
      <alignment horizontal="right" vertical="center" indent="1"/>
    </xf>
    <xf numFmtId="3" fontId="24" fillId="0" borderId="32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2" fillId="0" borderId="22" xfId="0" applyFont="1" applyBorder="1"/>
    <xf numFmtId="0" fontId="7" fillId="2" borderId="28" xfId="0" applyFont="1" applyFill="1" applyBorder="1" applyAlignment="1">
      <alignment horizontal="center" vertical="center"/>
    </xf>
    <xf numFmtId="0" fontId="2" fillId="0" borderId="0" xfId="0" applyFont="1"/>
    <xf numFmtId="0" fontId="23" fillId="0" borderId="0" xfId="0" applyFont="1"/>
    <xf numFmtId="3" fontId="9" fillId="0" borderId="12" xfId="0" applyNumberFormat="1" applyFont="1" applyBorder="1" applyAlignment="1">
      <alignment horizontal="right" vertical="center"/>
    </xf>
    <xf numFmtId="0" fontId="2" fillId="0" borderId="4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3" xfId="0" applyFont="1" applyBorder="1"/>
    <xf numFmtId="0" fontId="11" fillId="0" borderId="0" xfId="0" applyFont="1" applyAlignment="1">
      <alignment vertical="center"/>
    </xf>
    <xf numFmtId="0" fontId="7" fillId="2" borderId="28" xfId="0" applyFont="1" applyFill="1" applyBorder="1" applyAlignment="1">
      <alignment vertical="center" wrapText="1"/>
    </xf>
    <xf numFmtId="3" fontId="2" fillId="0" borderId="39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30" xfId="0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3" fontId="9" fillId="0" borderId="37" xfId="0" applyNumberFormat="1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1" fillId="0" borderId="4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/>
    <xf numFmtId="3" fontId="9" fillId="0" borderId="2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0" borderId="45" xfId="0" applyFont="1" applyBorder="1" applyAlignment="1">
      <alignment vertical="center" wrapText="1"/>
    </xf>
    <xf numFmtId="3" fontId="9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7" fillId="2" borderId="8" xfId="0" applyNumberFormat="1" applyFont="1" applyFill="1" applyBorder="1" applyAlignment="1">
      <alignment vertical="center" wrapText="1"/>
    </xf>
    <xf numFmtId="0" fontId="18" fillId="0" borderId="2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vertical="center"/>
    </xf>
    <xf numFmtId="3" fontId="18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1" fontId="18" fillId="0" borderId="0" xfId="0" applyNumberFormat="1" applyFont="1" applyAlignment="1">
      <alignment horizontal="right" vertical="center" wrapText="1"/>
    </xf>
    <xf numFmtId="1" fontId="9" fillId="0" borderId="22" xfId="0" applyNumberFormat="1" applyFont="1" applyBorder="1" applyAlignment="1">
      <alignment horizontal="right" vertical="center"/>
    </xf>
    <xf numFmtId="1" fontId="14" fillId="0" borderId="12" xfId="0" applyNumberFormat="1" applyFont="1" applyBorder="1" applyAlignment="1">
      <alignment horizontal="right" vertical="top"/>
    </xf>
    <xf numFmtId="1" fontId="13" fillId="0" borderId="22" xfId="0" applyNumberFormat="1" applyFont="1" applyBorder="1" applyAlignment="1">
      <alignment vertical="center"/>
    </xf>
    <xf numFmtId="1" fontId="9" fillId="0" borderId="38" xfId="0" applyNumberFormat="1" applyFont="1" applyBorder="1" applyAlignment="1">
      <alignment horizontal="right" vertical="center"/>
    </xf>
    <xf numFmtId="1" fontId="14" fillId="0" borderId="36" xfId="0" applyNumberFormat="1" applyFont="1" applyBorder="1" applyAlignment="1">
      <alignment horizontal="right" vertical="top"/>
    </xf>
    <xf numFmtId="1" fontId="13" fillId="0" borderId="38" xfId="0" applyNumberFormat="1" applyFont="1" applyBorder="1" applyAlignment="1">
      <alignment vertical="center"/>
    </xf>
    <xf numFmtId="0" fontId="2" fillId="0" borderId="4" xfId="0" applyFont="1" applyBorder="1"/>
    <xf numFmtId="0" fontId="26" fillId="0" borderId="0" xfId="0" applyFont="1"/>
    <xf numFmtId="0" fontId="27" fillId="0" borderId="7" xfId="0" applyFont="1" applyBorder="1" applyAlignment="1">
      <alignment vertical="center"/>
    </xf>
    <xf numFmtId="3" fontId="9" fillId="0" borderId="45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33" xfId="0" applyFont="1" applyBorder="1" applyAlignment="1">
      <alignment vertical="top" wrapText="1"/>
    </xf>
    <xf numFmtId="3" fontId="9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2" fillId="0" borderId="0" xfId="0" applyNumberFormat="1" applyFont="1"/>
    <xf numFmtId="0" fontId="22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/>
    </xf>
    <xf numFmtId="0" fontId="2" fillId="0" borderId="10" xfId="0" applyFont="1" applyBorder="1"/>
    <xf numFmtId="0" fontId="29" fillId="0" borderId="1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39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3" fontId="9" fillId="0" borderId="32" xfId="0" applyNumberFormat="1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3" fontId="2" fillId="0" borderId="47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3" fontId="16" fillId="0" borderId="34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3" fontId="7" fillId="3" borderId="32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0" fontId="10" fillId="0" borderId="0" xfId="0" applyFont="1"/>
    <xf numFmtId="3" fontId="2" fillId="0" borderId="37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horizontal="right" vertical="center" wrapText="1"/>
    </xf>
    <xf numFmtId="3" fontId="9" fillId="0" borderId="37" xfId="0" applyNumberFormat="1" applyFont="1" applyBorder="1" applyAlignment="1">
      <alignment horizontal="right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2">
    <cellStyle name="20 % - uthevingsfarge 1" xfId="1" xr:uid="{CADAFD39-7222-4DAC-89AE-26BCCD003AE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>
      <selection activeCell="K9" sqref="K9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139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227.16900000000001</v>
      </c>
      <c r="G23" s="28">
        <f t="shared" si="0"/>
        <v>53418.663370000002</v>
      </c>
      <c r="H23" s="11">
        <f t="shared" si="0"/>
        <v>33408.336629999998</v>
      </c>
      <c r="I23" s="11">
        <f t="shared" si="0"/>
        <v>68946.934510000006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226.9965</f>
        <v>226.9965</v>
      </c>
      <c r="G24" s="23">
        <f>53062.92702</f>
        <v>53062.927020000003</v>
      </c>
      <c r="H24" s="23">
        <f>E24-G24</f>
        <v>32982.072979999997</v>
      </c>
      <c r="I24" s="23">
        <f>68589.27254</f>
        <v>68589.272540000005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0.1725</f>
        <v>0.17249999999999999</v>
      </c>
      <c r="G25" s="23">
        <f>355.73635</f>
        <v>355.73635000000002</v>
      </c>
      <c r="H25" s="23">
        <f>E25-G25</f>
        <v>426.26364999999998</v>
      </c>
      <c r="I25" s="23">
        <f>357.66197</f>
        <v>357.66197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831.47186999999997</v>
      </c>
      <c r="G26" s="11">
        <f t="shared" si="1"/>
        <v>173306.82022999998</v>
      </c>
      <c r="H26" s="11">
        <f t="shared" si="1"/>
        <v>24263.179769999995</v>
      </c>
      <c r="I26" s="11">
        <f t="shared" si="1"/>
        <v>208976.67479999998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626.16337999999996</v>
      </c>
      <c r="G27" s="134">
        <f t="shared" ref="G27:I27" si="2">G28+G29+G30+G31+G32</f>
        <v>136856.54527999999</v>
      </c>
      <c r="H27" s="134">
        <f t="shared" si="2"/>
        <v>15794.454719999998</v>
      </c>
      <c r="I27" s="134">
        <f t="shared" si="2"/>
        <v>170768.29074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74.64707</f>
        <v>74.647069999999999</v>
      </c>
      <c r="G28" s="129">
        <f>36835.25262 - F57</f>
        <v>35824.252619999999</v>
      </c>
      <c r="H28" s="129">
        <f t="shared" ref="H28:H40" si="3">E28-G28</f>
        <v>3724.7473800000007</v>
      </c>
      <c r="I28" s="129">
        <f>42810.6828 - H57</f>
        <v>42810.682800000002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139.85673</f>
        <v>139.85673</v>
      </c>
      <c r="G29" s="129">
        <f>38290.44453 - F58</f>
        <v>36297.444530000001</v>
      </c>
      <c r="H29" s="129">
        <f t="shared" si="3"/>
        <v>4466.5554699999993</v>
      </c>
      <c r="I29" s="129">
        <f>46997.56903 - H58</f>
        <v>46997.569029999999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79.81792</f>
        <v>79.817920000000001</v>
      </c>
      <c r="G30" s="129">
        <f>36759.82897 - F59</f>
        <v>35848.828970000002</v>
      </c>
      <c r="H30" s="129">
        <f t="shared" si="3"/>
        <v>1418.1710299999977</v>
      </c>
      <c r="I30" s="129">
        <f>47111.72033 - H59</f>
        <v>47111.720329999996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23.84166</f>
        <v>23.841660000000001</v>
      </c>
      <c r="G31" s="129">
        <f>24850.01916 - F60</f>
        <v>24446.01916</v>
      </c>
      <c r="H31" s="129">
        <f t="shared" si="3"/>
        <v>960.98084000000017</v>
      </c>
      <c r="I31" s="129">
        <f>33848.31858 - H60</f>
        <v>33848.318579999999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308</v>
      </c>
      <c r="G32" s="129">
        <f>F55</f>
        <v>4440</v>
      </c>
      <c r="H32" s="129">
        <f t="shared" si="3"/>
        <v>5224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98.85824</f>
        <v>98.858239999999995</v>
      </c>
      <c r="G33" s="134">
        <f>15547.08578</f>
        <v>15547.085779999999</v>
      </c>
      <c r="H33" s="134">
        <f t="shared" si="3"/>
        <v>8038.9142200000006</v>
      </c>
      <c r="I33" s="134">
        <f>18170.53466</f>
        <v>18170.534660000001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106.45025</v>
      </c>
      <c r="G34" s="134">
        <f>G35+G36</f>
        <v>20903.189170000001</v>
      </c>
      <c r="H34" s="134">
        <f t="shared" si="3"/>
        <v>429.81082999999853</v>
      </c>
      <c r="I34" s="134">
        <f>I35+I36</f>
        <v>20037.849399999999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65.45025</f>
        <v>65.450249999999997</v>
      </c>
      <c r="G35" s="134">
        <f>24843.18917 - F61 - F62</f>
        <v>20499.189170000001</v>
      </c>
      <c r="H35" s="129">
        <f t="shared" si="3"/>
        <v>-366.18917000000147</v>
      </c>
      <c r="I35" s="129">
        <f>21696.8494 - H61 - H62</f>
        <v>20037.849399999999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41</v>
      </c>
      <c r="G36" s="73">
        <f>F60</f>
        <v>404</v>
      </c>
      <c r="H36" s="73">
        <f t="shared" si="3"/>
        <v>796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511.3746</f>
        <v>511.37459999999999</v>
      </c>
      <c r="H37" s="141">
        <f t="shared" si="3"/>
        <v>2488.6253999999999</v>
      </c>
      <c r="I37" s="141">
        <f>333.80295</f>
        <v>333.80295000000001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0</f>
        <v>0</v>
      </c>
      <c r="G38" s="100">
        <f>486.66974</f>
        <v>486.66973999999999</v>
      </c>
      <c r="H38" s="100">
        <f t="shared" si="3"/>
        <v>364.33026000000001</v>
      </c>
      <c r="I38" s="100">
        <f>458.36041</f>
        <v>458.36041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2</v>
      </c>
      <c r="G39" s="100">
        <f>F61</f>
        <v>4344</v>
      </c>
      <c r="H39" s="100">
        <f t="shared" si="3"/>
        <v>-1296</v>
      </c>
      <c r="I39" s="100">
        <f>H61</f>
        <v>1659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7.87175</f>
        <v>7.8717499999999996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1068.5156199999999</v>
      </c>
      <c r="G44" s="78">
        <f t="shared" si="4"/>
        <v>239147.08894000002</v>
      </c>
      <c r="H44" s="78">
        <f t="shared" si="4"/>
        <v>59548.911059999962</v>
      </c>
      <c r="I44" s="78">
        <f t="shared" si="4"/>
        <v>287495.71109999996</v>
      </c>
      <c r="J44" s="242"/>
    </row>
    <row r="45" spans="1:13" ht="14.1" customHeight="1" x14ac:dyDescent="0.2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146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thickBot="1" x14ac:dyDescent="0.3">
      <c r="A54" s="101"/>
      <c r="B54" s="24"/>
      <c r="C54" s="88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v>308</v>
      </c>
      <c r="F55" s="11">
        <f>F59+F58+F57+F56</f>
        <v>4440</v>
      </c>
      <c r="G55" s="291">
        <f>D55-F55</f>
        <v>5400</v>
      </c>
      <c r="H55" s="11"/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>
        <v>59</v>
      </c>
      <c r="F56" s="129">
        <v>525</v>
      </c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>
        <v>112</v>
      </c>
      <c r="F57" s="129">
        <v>1011</v>
      </c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>
        <v>104</v>
      </c>
      <c r="F58" s="129">
        <v>1993</v>
      </c>
      <c r="G58" s="292"/>
      <c r="H58" s="129"/>
      <c r="I58" s="256"/>
      <c r="J58" s="242"/>
    </row>
    <row r="59" spans="1:10" ht="14.1" customHeight="1" thickBot="1" x14ac:dyDescent="0.3">
      <c r="A59" s="101"/>
      <c r="B59" s="24"/>
      <c r="C59" s="89" t="s">
        <v>27</v>
      </c>
      <c r="D59" s="293"/>
      <c r="E59" s="194">
        <v>33</v>
      </c>
      <c r="F59" s="194">
        <v>911</v>
      </c>
      <c r="G59" s="293"/>
      <c r="H59" s="194"/>
      <c r="I59" s="256"/>
      <c r="J59" s="242"/>
    </row>
    <row r="60" spans="1:10" ht="14.1" customHeight="1" thickBot="1" x14ac:dyDescent="0.3">
      <c r="A60" s="101"/>
      <c r="B60" s="24"/>
      <c r="C60" s="91" t="s">
        <v>47</v>
      </c>
      <c r="D60" s="97">
        <v>1200</v>
      </c>
      <c r="E60" s="97">
        <v>41</v>
      </c>
      <c r="F60" s="97">
        <v>404</v>
      </c>
      <c r="G60" s="97">
        <f>D60-F60</f>
        <v>796</v>
      </c>
      <c r="H60" s="97"/>
      <c r="I60" s="256"/>
      <c r="J60" s="242"/>
    </row>
    <row r="61" spans="1:10" ht="14.1" customHeight="1" thickBot="1" x14ac:dyDescent="0.3">
      <c r="A61" s="101"/>
      <c r="B61" s="24"/>
      <c r="C61" s="144" t="s">
        <v>48</v>
      </c>
      <c r="D61" s="141">
        <v>3000</v>
      </c>
      <c r="E61" s="141">
        <v>2</v>
      </c>
      <c r="F61" s="141">
        <v>4344</v>
      </c>
      <c r="G61" s="141">
        <f>D61-F61</f>
        <v>-1344</v>
      </c>
      <c r="H61" s="141">
        <v>1659</v>
      </c>
      <c r="I61" s="256"/>
      <c r="J61" s="242"/>
    </row>
    <row r="62" spans="1:10" ht="14.1" customHeight="1" x14ac:dyDescent="0.2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136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11.721920000000001</v>
      </c>
      <c r="G92" s="11">
        <f t="shared" si="5"/>
        <v>39248.966110000001</v>
      </c>
      <c r="H92" s="11">
        <f t="shared" si="5"/>
        <v>-4449.9661100000012</v>
      </c>
      <c r="I92" s="11">
        <f t="shared" si="5"/>
        <v>36170.64273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8.83932</f>
        <v>8.8393200000000007</v>
      </c>
      <c r="G93" s="23">
        <f>38747.68372</f>
        <v>38747.683720000001</v>
      </c>
      <c r="H93" s="23">
        <f>E93-G93</f>
        <v>-4760.6837200000009</v>
      </c>
      <c r="I93" s="23">
        <f>35466.98866</f>
        <v>35466.988660000003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2.8826</f>
        <v>2.8826000000000001</v>
      </c>
      <c r="G94" s="52">
        <f>501.28239</f>
        <v>501.28239000000002</v>
      </c>
      <c r="H94" s="52">
        <f>E94-G94</f>
        <v>310.71760999999998</v>
      </c>
      <c r="I94" s="52">
        <f>703.65407</f>
        <v>703.65407000000005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391.57522</v>
      </c>
      <c r="G95" s="11">
        <f t="shared" si="6"/>
        <v>26621.145719999997</v>
      </c>
      <c r="H95" s="11">
        <f t="shared" si="6"/>
        <v>32878.85428</v>
      </c>
      <c r="I95" s="11">
        <f t="shared" si="6"/>
        <v>31203.495360000001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249.04483999999999</v>
      </c>
      <c r="G96" s="134">
        <f t="shared" si="7"/>
        <v>19236.101699999999</v>
      </c>
      <c r="H96" s="134">
        <f t="shared" si="7"/>
        <v>25254.898300000001</v>
      </c>
      <c r="I96" s="134">
        <f t="shared" si="7"/>
        <v>24789.34575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67.51052</f>
        <v>67.51052</v>
      </c>
      <c r="G97" s="129">
        <f>2744.22791</f>
        <v>2744.2279100000001</v>
      </c>
      <c r="H97" s="129">
        <f t="shared" ref="H97:H104" si="8">E97-G97</f>
        <v>9139.4720900000011</v>
      </c>
      <c r="I97" s="129">
        <f>2754.22027</f>
        <v>2754.2202699999998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23.69456</f>
        <v>23.694559999999999</v>
      </c>
      <c r="G98" s="129">
        <f>5822.67145</f>
        <v>5822.6714499999998</v>
      </c>
      <c r="H98" s="129">
        <f t="shared" si="8"/>
        <v>6842.4285500000005</v>
      </c>
      <c r="I98" s="129">
        <f>8427.3505</f>
        <v>8427.3505000000005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146.20606</f>
        <v>146.20606000000001</v>
      </c>
      <c r="G99" s="129">
        <f>5799.16495</f>
        <v>5799.1649500000003</v>
      </c>
      <c r="H99" s="129">
        <f t="shared" si="8"/>
        <v>6166.43505</v>
      </c>
      <c r="I99" s="129">
        <f>6935.65495</f>
        <v>6935.6549500000001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11.6337</f>
        <v>11.633699999999999</v>
      </c>
      <c r="G100" s="129">
        <f>4870.03739</f>
        <v>4870.0373900000004</v>
      </c>
      <c r="H100" s="129">
        <f t="shared" si="8"/>
        <v>3106.5626099999999</v>
      </c>
      <c r="I100" s="129">
        <f>6672.12003</f>
        <v>6672.12003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126.56138</f>
        <v>126.56138</v>
      </c>
      <c r="G101" s="134">
        <f>6021.9148</f>
        <v>6021.9147999999996</v>
      </c>
      <c r="H101" s="134">
        <f t="shared" si="8"/>
        <v>4369.0852000000004</v>
      </c>
      <c r="I101" s="134">
        <f>5271.20212</f>
        <v>5271.2021199999999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15.969</f>
        <v>15.968999999999999</v>
      </c>
      <c r="G102" s="77">
        <f>1363.12922</f>
        <v>1363.12922</v>
      </c>
      <c r="H102" s="77">
        <f t="shared" si="8"/>
        <v>3254.8707800000002</v>
      </c>
      <c r="I102" s="77">
        <f>1142.94749</f>
        <v>1142.94749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0.44908</f>
        <v>0.44907999999999998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403.74621999999999</v>
      </c>
      <c r="G107" s="78">
        <f t="shared" si="9"/>
        <v>66190.128299999982</v>
      </c>
      <c r="H107" s="78">
        <f t="shared" si="9"/>
        <v>28778.871700000011</v>
      </c>
      <c r="I107" s="78">
        <f t="shared" si="9"/>
        <v>67739.867699999988</v>
      </c>
      <c r="J107" s="242"/>
    </row>
    <row r="108" spans="1:10" ht="13.5" customHeight="1" x14ac:dyDescent="0.2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147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342.09995000000004</v>
      </c>
      <c r="G128" s="11">
        <f t="shared" si="11"/>
        <v>43118.766369999998</v>
      </c>
      <c r="H128" s="11">
        <f t="shared" si="11"/>
        <v>27588.233630000002</v>
      </c>
      <c r="I128" s="11">
        <f t="shared" si="11"/>
        <v>42008.407059999998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194.87705</f>
        <v>194.87705</v>
      </c>
      <c r="G129" s="23">
        <f>38138.23542</f>
        <v>38138.235419999997</v>
      </c>
      <c r="H129" s="23">
        <f>E129-G129</f>
        <v>18086.764580000003</v>
      </c>
      <c r="I129" s="23">
        <f>35933.1794</f>
        <v>35933.179400000001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147.2229</f>
        <v>147.22290000000001</v>
      </c>
      <c r="G130" s="23">
        <f>4980.53095</f>
        <v>4980.5309500000003</v>
      </c>
      <c r="H130" s="23">
        <f>E130-G130</f>
        <v>9001.4690499999997</v>
      </c>
      <c r="I130" s="23">
        <f>6075.22766</f>
        <v>6075.2276599999996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935.6192</f>
        <v>935.61919999999998</v>
      </c>
      <c r="G132" s="97">
        <f>34451.64049+5241.16118</f>
        <v>39692.801670000001</v>
      </c>
      <c r="H132" s="97">
        <f>E132-G132</f>
        <v>9592.1983299999993</v>
      </c>
      <c r="I132" s="97">
        <f>36764.38448</f>
        <v>36764.384480000001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1701.4251399999998</v>
      </c>
      <c r="G133" s="96">
        <f t="shared" ref="G133" si="12">G134+G139+G142</f>
        <v>52476.929179999999</v>
      </c>
      <c r="H133" s="96">
        <f>H134+H139+H142</f>
        <v>28635.070819999997</v>
      </c>
      <c r="I133" s="96">
        <f>I134+I139+I142</f>
        <v>51845.580410000002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1349.0286999999998</v>
      </c>
      <c r="G134" s="127">
        <f>G135+G136+G138+G137</f>
        <v>40594.785109999997</v>
      </c>
      <c r="H134" s="127">
        <f>H135+H136+H137+H138</f>
        <v>19038.214889999996</v>
      </c>
      <c r="I134" s="127">
        <f>I135+I136+I137+I138</f>
        <v>40799.424590000002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200.08753</f>
        <v>200.08752999999999</v>
      </c>
      <c r="G135" s="129">
        <v>6990.22217</v>
      </c>
      <c r="H135" s="129">
        <f>E135-G135</f>
        <v>10547.777829999999</v>
      </c>
      <c r="I135" s="129">
        <f>6185.04028</f>
        <v>6185.0402800000002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341.4539</f>
        <v>341.45389999999998</v>
      </c>
      <c r="G136" s="129">
        <v>11691.05256</v>
      </c>
      <c r="H136" s="129">
        <f>E136-G136</f>
        <v>3426.9474399999999</v>
      </c>
      <c r="I136" s="129">
        <f>9554.00026</f>
        <v>9554.0002600000007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487.52947</f>
        <v>487.52947</v>
      </c>
      <c r="G137" s="129">
        <v>12059.412220000002</v>
      </c>
      <c r="H137" s="129">
        <f>E137-G137</f>
        <v>2996.587779999998</v>
      </c>
      <c r="I137" s="129">
        <f>13096.14104</f>
        <v>13096.14104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319.9578</f>
        <v>319.95780000000002</v>
      </c>
      <c r="G138" s="129">
        <v>9854.0981599999996</v>
      </c>
      <c r="H138" s="129">
        <f>E138-G138</f>
        <v>2066.9018400000004</v>
      </c>
      <c r="I138" s="129">
        <f>11964.24301</f>
        <v>11964.24301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117.43857</v>
      </c>
      <c r="G139" s="134">
        <f>SUM(G140:G141)</f>
        <v>6720.0829899999999</v>
      </c>
      <c r="H139" s="134">
        <f>H140+H141</f>
        <v>2730.9170100000001</v>
      </c>
      <c r="I139" s="134">
        <f>SUM(I140:I141)</f>
        <v>6114.0584099999996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112.51377</f>
        <v>112.51376999999999</v>
      </c>
      <c r="G140" s="129">
        <f>6536.26778</f>
        <v>6536.2677800000001</v>
      </c>
      <c r="H140" s="129">
        <f t="shared" ref="H140:H147" si="13">E140-G140</f>
        <v>2414.7322199999999</v>
      </c>
      <c r="I140" s="129">
        <f>5941.74494</f>
        <v>5941.7449399999996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4.9248</f>
        <v>4.9248000000000003</v>
      </c>
      <c r="G141" s="129">
        <f>183.81521</f>
        <v>183.81521000000001</v>
      </c>
      <c r="H141" s="129">
        <f t="shared" si="13"/>
        <v>316.18479000000002</v>
      </c>
      <c r="I141" s="129">
        <f>172.31347</f>
        <v>172.31347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234.95787</f>
        <v>234.95787000000001</v>
      </c>
      <c r="G142" s="77">
        <f>5162.06108</f>
        <v>5162.0610800000004</v>
      </c>
      <c r="H142" s="77">
        <f t="shared" si="13"/>
        <v>6865.9389199999996</v>
      </c>
      <c r="I142" s="77">
        <f>4932.09741</f>
        <v>4932.0974100000003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30.361</f>
        <v>30.361000000000001</v>
      </c>
      <c r="H143" s="141">
        <f t="shared" si="13"/>
        <v>106.639</v>
      </c>
      <c r="I143" s="141">
        <f>21.55052</f>
        <v>21.550519999999999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18.3659</f>
        <v>18.3659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3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2997.5101899999995</v>
      </c>
      <c r="G150" s="78">
        <f>G128+G132+G133+G143+G144+G145+G146+G147+G148</f>
        <v>137581.43922</v>
      </c>
      <c r="H150" s="78">
        <f>H128+H132+H133+H143+H144+H145+H146+H147+H148</f>
        <v>66104.560779999985</v>
      </c>
      <c r="I150" s="78">
        <f>I128+I132+I133+I143+I144+I145+I146+I147+I148</f>
        <v>132946.89847000001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148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142</v>
      </c>
      <c r="F174" s="15" t="s">
        <v>143</v>
      </c>
      <c r="G174" s="56" t="s">
        <v>144</v>
      </c>
      <c r="H174" s="15" t="s">
        <v>145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3.1054</f>
        <v>3.1053999999999999</v>
      </c>
      <c r="F175" s="274">
        <f>1349.67355</f>
        <v>1349.67355</v>
      </c>
      <c r="G175" s="45">
        <f>D175-F175-F176</f>
        <v>2065.4459699999998</v>
      </c>
      <c r="H175" s="274">
        <f>1066.26887</f>
        <v>1066.2688700000001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78.06463</f>
        <v>78.064629999999994</v>
      </c>
      <c r="F176" s="154">
        <f>1572.88048</f>
        <v>1572.88048</v>
      </c>
      <c r="G176" s="215"/>
      <c r="H176" s="154">
        <f>1372.72845</f>
        <v>1372.7284500000001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0.005</f>
        <v>5.0000000000000001E-3</v>
      </c>
      <c r="F177" s="174">
        <f>71.57216</f>
        <v>71.572159999999997</v>
      </c>
      <c r="G177" s="174">
        <f>D177-F177</f>
        <v>128.42784</v>
      </c>
      <c r="H177" s="174">
        <f>49.87828</f>
        <v>49.878279999999997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977.09208000000001</v>
      </c>
      <c r="F178" s="183">
        <f>F179+F180+F181</f>
        <v>7829.0477699999992</v>
      </c>
      <c r="G178" s="183">
        <f>D178-F178</f>
        <v>-348.04776999999922</v>
      </c>
      <c r="H178" s="183">
        <f>H179+H180+H181</f>
        <v>6935.1653699999997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640.14962</f>
        <v>640.14962000000003</v>
      </c>
      <c r="F179" s="129">
        <f>4125.36993</f>
        <v>4125.3699299999998</v>
      </c>
      <c r="G179" s="129"/>
      <c r="H179" s="129">
        <f>3483.04552</f>
        <v>3483.0455200000001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255.88157</f>
        <v>255.88157000000001</v>
      </c>
      <c r="F180" s="129">
        <f>2348.38552</f>
        <v>2348.3855199999998</v>
      </c>
      <c r="G180" s="129"/>
      <c r="H180" s="129">
        <f>2213.88508</f>
        <v>2213.88508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81.06089</f>
        <v>81.060890000000001</v>
      </c>
      <c r="F181" s="194">
        <f>1355.29232</f>
        <v>1355.29232</v>
      </c>
      <c r="G181" s="194"/>
      <c r="H181" s="194">
        <f>1238.23477</f>
        <v>1238.23477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1058.26711</v>
      </c>
      <c r="F184" s="196">
        <f>F175+F176+F177+F178+F182+F183</f>
        <v>10823.17396</v>
      </c>
      <c r="G184" s="196">
        <f>D184-F184</f>
        <v>1911.8260399999999</v>
      </c>
      <c r="H184" s="196">
        <f>H175+H176+H177+H178+H182+H183</f>
        <v>9424.04097</v>
      </c>
      <c r="I184" s="165"/>
      <c r="J184" s="162"/>
    </row>
    <row r="185" spans="1:10" ht="42" customHeight="1" x14ac:dyDescent="0.2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13.32538</f>
        <v>13.325379999999999</v>
      </c>
      <c r="F204" s="124">
        <f>39024.67899</f>
        <v>39024.67899</v>
      </c>
      <c r="G204" s="124">
        <f>D204-F204</f>
        <v>4814.3210099999997</v>
      </c>
      <c r="H204" s="124">
        <f>32670.01748</f>
        <v>32670.017479999999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5.566</f>
        <v>5.5659999999999998</v>
      </c>
      <c r="F205" s="124">
        <f>54.76875</f>
        <v>54.768749999999997</v>
      </c>
      <c r="G205" s="124">
        <f>D205-F205</f>
        <v>45.231250000000003</v>
      </c>
      <c r="H205" s="124">
        <f>27.08287</f>
        <v>27.08287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18.891379999999998</v>
      </c>
      <c r="F207" s="190">
        <f>SUM(F204:F206)</f>
        <v>39079.447740000003</v>
      </c>
      <c r="G207" s="190">
        <f>D207-F207</f>
        <v>4901.5522599999967</v>
      </c>
      <c r="H207" s="190">
        <f>SUM(H204:H206)</f>
        <v>32697.100349999997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137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79.94811</f>
        <v>79.94811</v>
      </c>
      <c r="F249" s="77">
        <f>2688.69683</f>
        <v>2688.6968299999999</v>
      </c>
      <c r="G249" s="77"/>
      <c r="H249" s="77">
        <f>1816.75524</f>
        <v>1816.75524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60.44846</f>
        <v>60.448459999999997</v>
      </c>
      <c r="F250" s="77">
        <f>4712.68901</f>
        <v>4712.6890100000001</v>
      </c>
      <c r="G250" s="77"/>
      <c r="H250" s="77">
        <f>4155.22555</f>
        <v>4155.2255500000001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3.63874</f>
        <v>3.6387399999999999</v>
      </c>
      <c r="F251" s="124">
        <f>512.88827</f>
        <v>512.88827000000003</v>
      </c>
      <c r="G251" s="168"/>
      <c r="H251" s="124">
        <f>485.31114</f>
        <v>485.31114000000002</v>
      </c>
      <c r="I251" s="246"/>
      <c r="J251" s="122"/>
    </row>
    <row r="252" spans="1:10" ht="16.5" customHeight="1" x14ac:dyDescent="0.25">
      <c r="A252" s="1"/>
      <c r="B252" s="252"/>
      <c r="C252" s="179" t="s">
        <v>88</v>
      </c>
      <c r="D252" s="190">
        <v>10454</v>
      </c>
      <c r="E252" s="190">
        <f>SUM(E249:E251)</f>
        <v>144.03531000000001</v>
      </c>
      <c r="F252" s="190">
        <f>SUM(F249:F251)</f>
        <v>7914.2741100000003</v>
      </c>
      <c r="G252" s="190">
        <f>D252-F252</f>
        <v>2539.7258899999997</v>
      </c>
      <c r="H252" s="190">
        <f>SUM(H249:H251)</f>
        <v>6457.2919299999994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138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226.95979</f>
        <v>226.95979</v>
      </c>
      <c r="F294" s="77">
        <f>4199.26407</f>
        <v>4199.2640700000002</v>
      </c>
      <c r="G294" s="77"/>
      <c r="H294" s="77">
        <f>2424.75197</f>
        <v>2424.7519699999998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73.12542</f>
        <v>73.125420000000005</v>
      </c>
      <c r="F295" s="77">
        <f>2764.12588</f>
        <v>2764.1258800000001</v>
      </c>
      <c r="G295" s="77"/>
      <c r="H295" s="77">
        <f>2191.37064</f>
        <v>2191.3706400000001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1.47524</f>
        <v>1.4752400000000001</v>
      </c>
      <c r="F296" s="124">
        <f>415.0875</f>
        <v>415.08749999999998</v>
      </c>
      <c r="G296" s="168"/>
      <c r="H296" s="124">
        <f>448.55328</f>
        <v>448.55327999999997</v>
      </c>
      <c r="I296" s="246"/>
      <c r="J296" s="122"/>
    </row>
    <row r="297" spans="1:10" ht="16.5" customHeight="1" x14ac:dyDescent="0.25">
      <c r="A297" s="1"/>
      <c r="B297" s="252"/>
      <c r="C297" s="179" t="s">
        <v>88</v>
      </c>
      <c r="D297" s="190">
        <v>8076</v>
      </c>
      <c r="E297" s="190">
        <f>SUM(E294:E296)</f>
        <v>301.56045</v>
      </c>
      <c r="F297" s="190">
        <f>SUM(F294:F296)</f>
        <v>7378.4774500000003</v>
      </c>
      <c r="G297" s="190">
        <f>D297-F297</f>
        <v>697.52254999999968</v>
      </c>
      <c r="H297" s="190">
        <f>SUM(H294:H296)</f>
        <v>5064.6758900000004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8"/>
    </row>
    <row r="348" spans="1:10" ht="14.1" customHeight="1" x14ac:dyDescent="0.25">
      <c r="A348" s="70"/>
      <c r="B348" s="81"/>
      <c r="C348" s="90" t="s">
        <v>96</v>
      </c>
      <c r="D348" s="124">
        <v>800</v>
      </c>
      <c r="E348" s="124">
        <f>20.6712</f>
        <v>20.671199999999999</v>
      </c>
      <c r="F348" s="124">
        <f>421.58388</f>
        <v>421.58388000000002</v>
      </c>
      <c r="G348" s="124">
        <f>D348-F348</f>
        <v>378.41611999999998</v>
      </c>
      <c r="H348" s="124">
        <f>242.2704</f>
        <v>242.2704</v>
      </c>
      <c r="I348" s="70"/>
      <c r="J348" s="242"/>
    </row>
    <row r="349" spans="1:10" ht="14.1" customHeight="1" x14ac:dyDescent="0.25">
      <c r="A349" s="1"/>
      <c r="B349" s="252"/>
      <c r="C349" s="90" t="s">
        <v>97</v>
      </c>
      <c r="D349" s="244">
        <v>2494</v>
      </c>
      <c r="E349" s="124">
        <f>164.1351</f>
        <v>164.13509999999999</v>
      </c>
      <c r="F349" s="124">
        <f>2287.48873</f>
        <v>2287.48873</v>
      </c>
      <c r="G349" s="124">
        <f>D349-F349</f>
        <v>206.51126999999997</v>
      </c>
      <c r="H349" s="124">
        <f>1242.20587</f>
        <v>1242.20587</v>
      </c>
      <c r="I349" s="181"/>
      <c r="J349" s="118"/>
    </row>
    <row r="350" spans="1:10" ht="16.5" customHeight="1" x14ac:dyDescent="0.2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0.9169</f>
        <v>0.91690000000000005</v>
      </c>
      <c r="I350" s="70"/>
      <c r="J350" s="247"/>
    </row>
    <row r="351" spans="1:10" ht="18.75" customHeight="1" x14ac:dyDescent="0.25">
      <c r="A351" s="70"/>
      <c r="B351" s="248"/>
      <c r="C351" s="146" t="s">
        <v>98</v>
      </c>
      <c r="D351" s="220"/>
      <c r="E351" s="168">
        <f>0</f>
        <v>0</v>
      </c>
      <c r="F351" s="168">
        <f>1.6866</f>
        <v>1.6866000000000001</v>
      </c>
      <c r="G351" s="124"/>
      <c r="H351" s="168">
        <f>6.74854</f>
        <v>6.7485400000000002</v>
      </c>
      <c r="I351" s="282"/>
      <c r="J351" s="122"/>
    </row>
    <row r="352" spans="1:10" ht="14.1" customHeight="1" x14ac:dyDescent="0.25">
      <c r="A352" s="1"/>
      <c r="B352" s="252"/>
      <c r="C352" s="179" t="s">
        <v>88</v>
      </c>
      <c r="D352" s="6">
        <f>D337</f>
        <v>3299</v>
      </c>
      <c r="E352" s="190">
        <f>SUM(E348:E351)</f>
        <v>184.80629999999999</v>
      </c>
      <c r="F352" s="190">
        <f>SUM(F348:F351)</f>
        <v>2713.4979499999999</v>
      </c>
      <c r="G352" s="190">
        <f>D352-F352</f>
        <v>585.50205000000005</v>
      </c>
      <c r="H352" s="190">
        <f>H348+H349+H350+H351</f>
        <v>1492.1417100000001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119</v>
      </c>
    </row>
    <row r="356" spans="1:10" ht="14.1" customHeight="1" x14ac:dyDescent="0.25">
      <c r="A356" s="1" t="s">
        <v>119</v>
      </c>
    </row>
    <row r="357" spans="1:10" ht="14.1" customHeight="1" x14ac:dyDescent="0.25">
      <c r="A357" s="1" t="s">
        <v>119</v>
      </c>
    </row>
    <row r="358" spans="1:10" ht="14.1" customHeight="1" x14ac:dyDescent="0.25">
      <c r="A358" s="1"/>
      <c r="C358" s="152" t="s">
        <v>119</v>
      </c>
    </row>
    <row r="359" spans="1:10" ht="36" customHeight="1" x14ac:dyDescent="0.25">
      <c r="A359" s="1"/>
      <c r="C359" s="152" t="s">
        <v>119</v>
      </c>
    </row>
    <row r="360" spans="1:10" ht="14.1" customHeight="1" x14ac:dyDescent="0.25">
      <c r="A360" s="1"/>
      <c r="C360" s="152" t="s">
        <v>119</v>
      </c>
    </row>
    <row r="361" spans="1:10" ht="14.1" customHeight="1" x14ac:dyDescent="0.25">
      <c r="A361" s="1"/>
      <c r="C361" s="152" t="s">
        <v>119</v>
      </c>
    </row>
    <row r="362" spans="1:10" ht="30" customHeight="1" x14ac:dyDescent="0.3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2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106</v>
      </c>
      <c r="F377" s="221" t="s">
        <v>142</v>
      </c>
      <c r="G377" s="221" t="s">
        <v>143</v>
      </c>
      <c r="H377" s="221" t="s">
        <v>144</v>
      </c>
      <c r="I377" s="221" t="s">
        <v>145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1409.79981</v>
      </c>
      <c r="G378" s="251">
        <f t="shared" si="15"/>
        <v>9991.9140200000002</v>
      </c>
      <c r="H378" s="251">
        <f>H382+H381+H380+H379</f>
        <v>6110.0859799999998</v>
      </c>
      <c r="I378" s="251">
        <f t="shared" si="15"/>
        <v>4032.7138699999996</v>
      </c>
      <c r="J378" s="132"/>
    </row>
    <row r="379" spans="1:10" ht="14.1" customHeight="1" x14ac:dyDescent="0.25">
      <c r="A379" s="216"/>
      <c r="B379" s="74"/>
      <c r="C379" s="253" t="s">
        <v>107</v>
      </c>
      <c r="D379" s="254">
        <v>6472</v>
      </c>
      <c r="E379" s="254">
        <v>8177</v>
      </c>
      <c r="F379" s="255">
        <f>1086.93628</f>
        <v>1086.9362799999999</v>
      </c>
      <c r="G379" s="255">
        <f>4942.32257</f>
        <v>4942.3225700000003</v>
      </c>
      <c r="H379" s="255">
        <f t="shared" ref="H379:H383" si="16">E379-G379</f>
        <v>3234.6774299999997</v>
      </c>
      <c r="I379" s="255">
        <f>1651.11808</f>
        <v>1651.11808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147.015</f>
        <v>147.01499999999999</v>
      </c>
      <c r="G380" s="255">
        <f>1205.54055</f>
        <v>1205.5405499999999</v>
      </c>
      <c r="H380" s="255">
        <f t="shared" si="16"/>
        <v>922.45945000000006</v>
      </c>
      <c r="I380" s="255">
        <f>490.4118</f>
        <v>490.41180000000003</v>
      </c>
      <c r="J380" s="132"/>
    </row>
    <row r="381" spans="1:10" ht="14.1" customHeight="1" x14ac:dyDescent="0.25">
      <c r="A381" s="216"/>
      <c r="B381" s="74"/>
      <c r="C381" s="258" t="s">
        <v>103</v>
      </c>
      <c r="D381" s="254">
        <v>1313</v>
      </c>
      <c r="E381" s="254">
        <v>1357</v>
      </c>
      <c r="F381" s="255">
        <f>56.90733</f>
        <v>56.907330000000002</v>
      </c>
      <c r="G381" s="255">
        <f>1570.226</f>
        <v>1570.2260000000001</v>
      </c>
      <c r="H381" s="255">
        <f t="shared" si="16"/>
        <v>-213.22600000000011</v>
      </c>
      <c r="I381" s="255">
        <f>1162.38459</f>
        <v>1162.3845899999999</v>
      </c>
      <c r="J381" s="132"/>
    </row>
    <row r="382" spans="1:10" ht="14.1" customHeight="1" x14ac:dyDescent="0.25">
      <c r="A382" s="216"/>
      <c r="B382" s="74"/>
      <c r="C382" s="260" t="s">
        <v>108</v>
      </c>
      <c r="D382" s="261">
        <v>4296</v>
      </c>
      <c r="E382" s="261">
        <v>4440</v>
      </c>
      <c r="F382" s="255">
        <f>118.9412</f>
        <v>118.94119999999999</v>
      </c>
      <c r="G382" s="255">
        <f>2273.8249</f>
        <v>2273.8249000000001</v>
      </c>
      <c r="H382" s="255">
        <f t="shared" si="16"/>
        <v>2166.1750999999999</v>
      </c>
      <c r="I382" s="255">
        <f>728.7994</f>
        <v>728.79939999999999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3.991</f>
        <v>3.9910000000000001</v>
      </c>
      <c r="G383" s="266">
        <f>5102.24628</f>
        <v>5102.2462800000003</v>
      </c>
      <c r="H383" s="266">
        <f t="shared" si="16"/>
        <v>397.7537199999997</v>
      </c>
      <c r="I383" s="266">
        <f>4538.93268</f>
        <v>4538.9326799999999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157.65978999999999</v>
      </c>
      <c r="G384" s="267">
        <f>G386+G385</f>
        <v>2923.8383199999998</v>
      </c>
      <c r="H384" s="267">
        <f>E384-G384</f>
        <v>5076.1616800000002</v>
      </c>
      <c r="I384" s="267">
        <f>I386+I385</f>
        <v>2843.5073000000002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0</f>
        <v>0</v>
      </c>
      <c r="G385" s="255">
        <f>885.0987</f>
        <v>885.09870000000001</v>
      </c>
      <c r="H385" s="255"/>
      <c r="I385" s="255">
        <f>1104.06518</f>
        <v>1104.0651800000001</v>
      </c>
      <c r="J385" s="132"/>
    </row>
    <row r="386" spans="1:10" ht="14.1" customHeight="1" x14ac:dyDescent="0.25">
      <c r="A386" s="216"/>
      <c r="B386" s="74"/>
      <c r="C386" s="271" t="s">
        <v>109</v>
      </c>
      <c r="D386" s="272"/>
      <c r="E386" s="275"/>
      <c r="F386" s="276">
        <f>157.65979</f>
        <v>157.65978999999999</v>
      </c>
      <c r="G386" s="276">
        <f>2038.73962</f>
        <v>2038.7396200000001</v>
      </c>
      <c r="H386" s="276"/>
      <c r="I386" s="276">
        <f>1739.44212</f>
        <v>1739.4421199999999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0.0735</f>
        <v>7.3499999999999996E-2</v>
      </c>
      <c r="H387" s="266">
        <f>E387-G387</f>
        <v>9.9265000000000008</v>
      </c>
      <c r="I387" s="266">
        <f>0.1593</f>
        <v>0.1593</v>
      </c>
      <c r="J387" s="132"/>
    </row>
    <row r="388" spans="1:10" ht="14.1" customHeight="1" x14ac:dyDescent="0.25">
      <c r="A388" s="216"/>
      <c r="B388" s="74"/>
      <c r="C388" s="277" t="s">
        <v>110</v>
      </c>
      <c r="D388" s="280"/>
      <c r="E388" s="281"/>
      <c r="F388" s="266">
        <f>4.331</f>
        <v>4.3310000000000004</v>
      </c>
      <c r="G388" s="266">
        <f>83.92038</f>
        <v>83.920379999999994</v>
      </c>
      <c r="H388" s="266">
        <f>E388-G388</f>
        <v>-83.920379999999994</v>
      </c>
      <c r="I388" s="266">
        <f>230.76233</f>
        <v>230.76232999999999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1575.7815999999998</v>
      </c>
      <c r="G389" s="285">
        <f t="shared" si="17"/>
        <v>18101.992499999997</v>
      </c>
      <c r="H389" s="285">
        <f>H378+H383+H384+H387+H388</f>
        <v>11510.0075</v>
      </c>
      <c r="I389" s="285">
        <f t="shared" si="17"/>
        <v>11646.075479999998</v>
      </c>
      <c r="J389" s="132"/>
    </row>
    <row r="390" spans="1:10" ht="14.1" customHeight="1" x14ac:dyDescent="0.2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119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2"/>
      <c r="J410" s="13"/>
    </row>
    <row r="411" spans="1:10" ht="14.1" customHeight="1" x14ac:dyDescent="0.2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117</v>
      </c>
      <c r="D414" s="10"/>
      <c r="E414" s="26">
        <f>SUM(E415:E416)</f>
        <v>49.672510000000003</v>
      </c>
      <c r="F414" s="26">
        <f>SUM(F415:F416)</f>
        <v>1348.16705</v>
      </c>
      <c r="G414" s="87"/>
      <c r="H414" s="26">
        <f>SUM(H415:H416)</f>
        <v>1644.93487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38.0875</f>
        <v>38.087499999999999</v>
      </c>
      <c r="F415" s="30">
        <f>1040.36537</f>
        <v>1040.36537</v>
      </c>
      <c r="G415" s="99"/>
      <c r="H415" s="30">
        <f>1294.4829</f>
        <v>1294.4829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11.58501</f>
        <v>11.58501</v>
      </c>
      <c r="F416" s="30">
        <f>307.80168</f>
        <v>307.80167999999998</v>
      </c>
      <c r="G416" s="110"/>
      <c r="H416" s="30">
        <f>350.45197</f>
        <v>350.45197000000002</v>
      </c>
      <c r="I416" s="152"/>
      <c r="J416" s="132"/>
    </row>
    <row r="417" spans="1:10" ht="14.1" customHeight="1" x14ac:dyDescent="0.25">
      <c r="A417" s="216"/>
      <c r="B417" s="74"/>
      <c r="C417" s="263" t="s">
        <v>118</v>
      </c>
      <c r="D417" s="10"/>
      <c r="E417" s="36">
        <f>SUM(E418:E419)</f>
        <v>0</v>
      </c>
      <c r="F417" s="36">
        <f>SUM(F418:F419)</f>
        <v>0</v>
      </c>
      <c r="G417" s="87"/>
      <c r="H417" s="36">
        <f>SUM(H418:H419)</f>
        <v>0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0</f>
        <v>0</v>
      </c>
      <c r="F418" s="30">
        <f>0</f>
        <v>0</v>
      </c>
      <c r="G418" s="99"/>
      <c r="H418" s="30">
        <f>0</f>
        <v>0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0</f>
        <v>0</v>
      </c>
      <c r="F419" s="30">
        <f>0</f>
        <v>0</v>
      </c>
      <c r="G419" s="110"/>
      <c r="H419" s="30">
        <f>0</f>
        <v>0</v>
      </c>
      <c r="I419" s="152"/>
      <c r="J419" s="132"/>
    </row>
    <row r="420" spans="1:10" ht="14.1" customHeight="1" x14ac:dyDescent="0.2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88</v>
      </c>
      <c r="D421" s="41"/>
      <c r="E421" s="42">
        <f>E411+E414+E417+E420</f>
        <v>49.672510000000003</v>
      </c>
      <c r="F421" s="42">
        <f>F411+F414+F417+F420</f>
        <v>3544.9141799999998</v>
      </c>
      <c r="G421" s="43"/>
      <c r="H421" s="42">
        <f>H411+H414+H417+H420</f>
        <v>3032.5672</v>
      </c>
      <c r="I421" s="27"/>
      <c r="J421" s="132"/>
    </row>
    <row r="422" spans="1:10" ht="18.75" customHeight="1" x14ac:dyDescent="0.25">
      <c r="A422" s="216"/>
      <c r="B422" s="74"/>
      <c r="C422" s="152" t="s">
        <v>140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141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33&amp;R22.08.2023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2023-08-22T06:59:57Z</dcterms:modified>
</cp:coreProperties>
</file>