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F047F226-09E4-4BC0-BA3E-7FD26A348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E411" i="1" s="1"/>
  <c r="H412" i="1"/>
  <c r="F412" i="1"/>
  <c r="E412" i="1"/>
  <c r="H411" i="1"/>
  <c r="H421" i="1" s="1"/>
  <c r="F411" i="1"/>
  <c r="F421" i="1" s="1"/>
  <c r="E389" i="1"/>
  <c r="D389" i="1"/>
  <c r="I388" i="1"/>
  <c r="G388" i="1"/>
  <c r="H388" i="1" s="1"/>
  <c r="F388" i="1"/>
  <c r="I387" i="1"/>
  <c r="H387" i="1"/>
  <c r="G387" i="1"/>
  <c r="F387" i="1"/>
  <c r="I386" i="1"/>
  <c r="I384" i="1" s="1"/>
  <c r="G386" i="1"/>
  <c r="F386" i="1"/>
  <c r="F384" i="1" s="1"/>
  <c r="I385" i="1"/>
  <c r="G385" i="1"/>
  <c r="F385" i="1"/>
  <c r="G384" i="1"/>
  <c r="H384" i="1" s="1"/>
  <c r="I383" i="1"/>
  <c r="H383" i="1"/>
  <c r="G383" i="1"/>
  <c r="F383" i="1"/>
  <c r="I382" i="1"/>
  <c r="G382" i="1"/>
  <c r="H382" i="1" s="1"/>
  <c r="H378" i="1" s="1"/>
  <c r="H389" i="1" s="1"/>
  <c r="F382" i="1"/>
  <c r="I381" i="1"/>
  <c r="H381" i="1"/>
  <c r="G381" i="1"/>
  <c r="F381" i="1"/>
  <c r="F378" i="1" s="1"/>
  <c r="F389" i="1" s="1"/>
  <c r="I380" i="1"/>
  <c r="G380" i="1"/>
  <c r="H380" i="1" s="1"/>
  <c r="F380" i="1"/>
  <c r="I379" i="1"/>
  <c r="H379" i="1"/>
  <c r="G379" i="1"/>
  <c r="F379" i="1"/>
  <c r="I378" i="1"/>
  <c r="I389" i="1" s="1"/>
  <c r="G378" i="1"/>
  <c r="G389" i="1" s="1"/>
  <c r="E378" i="1"/>
  <c r="D378" i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H352" i="1" s="1"/>
  <c r="F348" i="1"/>
  <c r="F352" i="1" s="1"/>
  <c r="G352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H252" i="1"/>
  <c r="H251" i="1"/>
  <c r="F251" i="1"/>
  <c r="E251" i="1"/>
  <c r="H250" i="1"/>
  <c r="F250" i="1"/>
  <c r="E250" i="1"/>
  <c r="E252" i="1" s="1"/>
  <c r="H249" i="1"/>
  <c r="F249" i="1"/>
  <c r="F252" i="1" s="1"/>
  <c r="G252" i="1" s="1"/>
  <c r="E249" i="1"/>
  <c r="E207" i="1"/>
  <c r="D207" i="1"/>
  <c r="G207" i="1" s="1"/>
  <c r="G206" i="1"/>
  <c r="H205" i="1"/>
  <c r="H207" i="1" s="1"/>
  <c r="F205" i="1"/>
  <c r="G205" i="1" s="1"/>
  <c r="E205" i="1"/>
  <c r="H204" i="1"/>
  <c r="G204" i="1"/>
  <c r="F204" i="1"/>
  <c r="F207" i="1" s="1"/>
  <c r="E204" i="1"/>
  <c r="D184" i="1"/>
  <c r="H182" i="1"/>
  <c r="G182" i="1"/>
  <c r="F182" i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H178" i="1"/>
  <c r="E178" i="1"/>
  <c r="H177" i="1"/>
  <c r="F177" i="1"/>
  <c r="F184" i="1" s="1"/>
  <c r="E177" i="1"/>
  <c r="H176" i="1"/>
  <c r="F176" i="1"/>
  <c r="E176" i="1"/>
  <c r="H175" i="1"/>
  <c r="H184" i="1" s="1"/>
  <c r="G175" i="1"/>
  <c r="F175" i="1"/>
  <c r="E175" i="1"/>
  <c r="E184" i="1" s="1"/>
  <c r="D150" i="1"/>
  <c r="H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I139" i="1" s="1"/>
  <c r="H140" i="1"/>
  <c r="H139" i="1" s="1"/>
  <c r="G140" i="1"/>
  <c r="F140" i="1"/>
  <c r="F139" i="1" s="1"/>
  <c r="G139" i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G134" i="1"/>
  <c r="G133" i="1" s="1"/>
  <c r="E134" i="1"/>
  <c r="E133" i="1" s="1"/>
  <c r="E150" i="1" s="1"/>
  <c r="I132" i="1"/>
  <c r="F132" i="1"/>
  <c r="H131" i="1"/>
  <c r="I130" i="1"/>
  <c r="H130" i="1"/>
  <c r="G130" i="1"/>
  <c r="F130" i="1"/>
  <c r="I129" i="1"/>
  <c r="H129" i="1"/>
  <c r="G129" i="1"/>
  <c r="G128" i="1" s="1"/>
  <c r="F129" i="1"/>
  <c r="I128" i="1"/>
  <c r="I150" i="1" s="1"/>
  <c r="H128" i="1"/>
  <c r="F128" i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G96" i="1" s="1"/>
  <c r="G95" i="1" s="1"/>
  <c r="F98" i="1"/>
  <c r="I97" i="1"/>
  <c r="H97" i="1"/>
  <c r="G97" i="1"/>
  <c r="F97" i="1"/>
  <c r="I96" i="1"/>
  <c r="I95" i="1" s="1"/>
  <c r="F96" i="1"/>
  <c r="F95" i="1" s="1"/>
  <c r="E96" i="1"/>
  <c r="D96" i="1"/>
  <c r="D95" i="1" s="1"/>
  <c r="D107" i="1" s="1"/>
  <c r="E95" i="1"/>
  <c r="I94" i="1"/>
  <c r="H94" i="1"/>
  <c r="G94" i="1"/>
  <c r="F94" i="1"/>
  <c r="I93" i="1"/>
  <c r="G93" i="1"/>
  <c r="G92" i="1" s="1"/>
  <c r="G107" i="1" s="1"/>
  <c r="F93" i="1"/>
  <c r="F92" i="1" s="1"/>
  <c r="F107" i="1" s="1"/>
  <c r="I92" i="1"/>
  <c r="I107" i="1" s="1"/>
  <c r="E92" i="1"/>
  <c r="E107" i="1" s="1"/>
  <c r="C89" i="1"/>
  <c r="H85" i="1"/>
  <c r="F85" i="1"/>
  <c r="D85" i="1"/>
  <c r="G61" i="1"/>
  <c r="G60" i="1"/>
  <c r="H55" i="1"/>
  <c r="I32" i="1" s="1"/>
  <c r="F55" i="1"/>
  <c r="G32" i="1" s="1"/>
  <c r="H32" i="1" s="1"/>
  <c r="E55" i="1"/>
  <c r="F32" i="1" s="1"/>
  <c r="F27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G34" i="1" s="1"/>
  <c r="F35" i="1"/>
  <c r="I33" i="1"/>
  <c r="G33" i="1"/>
  <c r="H33" i="1" s="1"/>
  <c r="F33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H23" i="1" s="1"/>
  <c r="F25" i="1"/>
  <c r="I24" i="1"/>
  <c r="H24" i="1"/>
  <c r="G24" i="1"/>
  <c r="F24" i="1"/>
  <c r="I23" i="1"/>
  <c r="G23" i="1"/>
  <c r="F23" i="1"/>
  <c r="H16" i="1"/>
  <c r="F16" i="1"/>
  <c r="D16" i="1"/>
  <c r="G150" i="1" l="1"/>
  <c r="I27" i="1"/>
  <c r="I34" i="1"/>
  <c r="F34" i="1"/>
  <c r="F26" i="1" s="1"/>
  <c r="F44" i="1" s="1"/>
  <c r="G184" i="1"/>
  <c r="E421" i="1"/>
  <c r="H134" i="1"/>
  <c r="H133" i="1" s="1"/>
  <c r="H150" i="1" s="1"/>
  <c r="H27" i="1"/>
  <c r="G26" i="1"/>
  <c r="G44" i="1" s="1"/>
  <c r="H34" i="1"/>
  <c r="F150" i="1"/>
  <c r="I26" i="1"/>
  <c r="I44" i="1" s="1"/>
  <c r="G177" i="1"/>
  <c r="G27" i="1"/>
  <c r="H35" i="1"/>
  <c r="H93" i="1"/>
  <c r="H92" i="1" s="1"/>
  <c r="H98" i="1"/>
  <c r="H96" i="1" s="1"/>
  <c r="H95" i="1" s="1"/>
  <c r="G348" i="1"/>
  <c r="G55" i="1"/>
  <c r="H107" i="1" l="1"/>
  <c r="H26" i="1"/>
  <c r="H44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<sst xmlns="http://schemas.openxmlformats.org/spreadsheetml/2006/main" count="358" uniqueCount="150">
  <si>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</si>
  <si>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</si>
  <si>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</si>
  <si>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</si>
  <si>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</si>
  <si>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</si>
  <si>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</si>
  <si>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</si>
  <si>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</si>
  <si>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</si>
  <si>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</si>
  <si>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</si>
  <si>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</si>
  <si>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</si>
  <si>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</si>
  <si>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</si>
  <si>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</si>
  <si>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</si>
  <si>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</si>
  <si>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</si>
  <si>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</si>
  <si>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</si>
  <si>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</si>
  <si>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</si>
  <si>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</si>
  <si>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</si>
  <si>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</si>
  <si>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</si>
  <si>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</si>
  <si>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</si>
  <si>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</si>
  <si>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</si>
  <si>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</si>
  <si>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</si>
  <si>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</si>
  <si>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</si>
  <si>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</si>
  <si>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</si>
  <si>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</si>
  <si>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</si>
  <si>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</si>
  <si>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</si>
  <si>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</si>
  <si>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</si>
  <si>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</si>
  <si>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</si>
  <si>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</si>
  <si>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</si>
  <si>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</si>
  <si>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</si>
  <si>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</si>
  <si>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</si>
  <si>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</si>
  <si>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</si>
  <si>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</si>
  <si>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</si>
  <si>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</si>
  <si>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</si>
  <si>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</si>
  <si>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</si>
  <si>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</si>
  <si>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</si>
  <si>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</si>
  <si>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</si>
  <si>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</si>
  <si>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</si>
  <si>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</si>
  <si>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</si>
  <si>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</si>
  <si>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</si>
  <si>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</si>
  <si>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</si>
  <si>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</si>
  <si>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3</t>
    </r>
    <r>
      <rPr>
        <sz val="9"/>
        <color indexed="8"/>
        <rFont val="Calibri"/>
        <family val="2"/>
      </rPr>
      <t xml:space="preserve"> Det er fisket 2 933 tonn sei med konvensjonelle redskap som belastes notkvoten.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</si>
  <si>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</si>
  <si>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</si>
  <si>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</si>
  <si>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</si>
  <si>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</si>
  <si>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</si>
  <si>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</si>
  <si>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</si>
  <si>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</si>
  <si>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</si>
  <si>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</si>
  <si>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</si>
  <si>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</si>
  <si>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</si>
  <si>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</si>
  <si>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</si>
  <si>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</si>
  <si>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</si>
  <si>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</si>
  <si>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</si>
  <si>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</si>
  <si>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</si>
  <si>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</si>
  <si>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</si>
  <si>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</si>
  <si>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</si>
  <si>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</si>
  <si>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</si>
  <si>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</si>
  <si>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</si>
  <si>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</si>
  <si>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</si>
  <si>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</si>
  <si>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</si>
  <si>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</si>
  <si>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</si>
  <si>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</si>
  <si>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</si>
  <si>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</si>
  <si>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</si>
  <si>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</si>
  <si>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</si>
  <si>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</si>
  <si>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</si>
  <si>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</si>
  <si>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</si>
  <si>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</si>
  <si>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</si>
  <si>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</si>
  <si>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</si>
  <si>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</si>
  <si>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</si>
  <si>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</si>
  <si>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</si>
  <si>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</si>
  <si>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</si>
  <si>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</si>
  <si>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</si>
  <si>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</si>
  <si>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</si>
  <si>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</si>
  <si>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</si>
  <si>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</si>
  <si>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</si>
  <si>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</si>
  <si>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</si>
  <si>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</si>
  <si>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</si>
  <si>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</si>
  <si>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35</t>
  </si>
  <si>
    <t>FANGST T.O.M UKE 35</t>
  </si>
  <si>
    <t>RESTKVOTER UKE 35</t>
  </si>
  <si>
    <t>FANGST T.O.M UKE 35 2022</t>
  </si>
  <si>
    <r>
      <t xml:space="preserve">3 </t>
    </r>
    <r>
      <rPr>
        <sz val="9"/>
        <color indexed="8"/>
        <rFont val="Calibri"/>
        <family val="2"/>
      </rPr>
      <t>Registrert rekreasjonsfiske utgjør 687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</si>
  <si>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64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</si>
  <si>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619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</si>
</sst>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140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76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4.4999999999999998E-2</v>
      </c>
      <c r="G23" s="28">
        <f t="shared" si="0"/>
        <v>54405.508170000001</v>
      </c>
      <c r="H23" s="11">
        <f t="shared" si="0"/>
        <v>32421.491830000003</v>
      </c>
      <c r="I23" s="11">
        <f t="shared" si="0"/>
        <v>70838.92300000001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0.045</f>
        <v>4.4999999999999998E-2</v>
      </c>
      <c r="G24" s="23">
        <f>54049.63082</f>
        <v>54049.630819999998</v>
      </c>
      <c r="H24" s="23">
        <f>E24-G24</f>
        <v>31995.369180000002</v>
      </c>
      <c r="I24" s="23">
        <f>70466.85503</f>
        <v>70466.855030000006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355.87735</f>
        <v>355.87734999999998</v>
      </c>
      <c r="H25" s="23">
        <f>E25-G25</f>
        <v>426.12265000000002</v>
      </c>
      <c r="I25" s="23">
        <f>372.06797</f>
        <v>372.06797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1242.1122</v>
      </c>
      <c r="G26" s="11">
        <f t="shared" si="1"/>
        <v>175270.29090000002</v>
      </c>
      <c r="H26" s="11">
        <f t="shared" si="1"/>
        <v>22299.7091</v>
      </c>
      <c r="I26" s="11">
        <f t="shared" si="1"/>
        <v>210992.13894999999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1151.07836</v>
      </c>
      <c r="G27" s="134">
        <f t="shared" ref="G27:I27" si="2">G28+G29+G30+G31+G32</f>
        <v>138337.61850000001</v>
      </c>
      <c r="H27" s="134">
        <f t="shared" si="2"/>
        <v>14313.3815</v>
      </c>
      <c r="I27" s="134">
        <f t="shared" si="2"/>
        <v>171732.95051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69.06691</f>
        <v>69.066909999999993</v>
      </c>
      <c r="G28" s="129">
        <f>37011.9481099999 - F57</f>
        <v>35626.948109999998</v>
      </c>
      <c r="H28" s="129">
        <f t="shared" ref="H28:H40" si="3">E28-G28</f>
        <v>3922.0518900000025</v>
      </c>
      <c r="I28" s="129">
        <f>42998.63797 - H57</f>
        <v>41241.637970000003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333.92865</f>
        <v>333.92865</v>
      </c>
      <c r="G29" s="129">
        <f>38954.86147 - F58</f>
        <v>36709.861470000003</v>
      </c>
      <c r="H29" s="129">
        <f t="shared" si="3"/>
        <v>4054.1385299999965</v>
      </c>
      <c r="I29" s="129">
        <f>47400.03828 - H58</f>
        <v>45850.038280000001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142.60297</f>
        <v>142.60297</v>
      </c>
      <c r="G30" s="129">
        <f>37155.77439 - F59</f>
        <v>36074.774389999999</v>
      </c>
      <c r="H30" s="129">
        <f t="shared" si="3"/>
        <v>1192.2256100000013</v>
      </c>
      <c r="I30" s="129">
        <f>47377.61232 - H59</f>
        <v>46475.61232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95.47983</f>
        <v>95.479830000000007</v>
      </c>
      <c r="G31" s="129">
        <f>25057.03453 - F60</f>
        <v>24576.034530000001</v>
      </c>
      <c r="H31" s="129">
        <f t="shared" si="3"/>
        <v>830.96546999999919</v>
      </c>
      <c r="I31" s="129">
        <f>33933.66194 - H60</f>
        <v>33396.661939999998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510</v>
      </c>
      <c r="G32" s="129">
        <f>F55</f>
        <v>5350</v>
      </c>
      <c r="H32" s="129">
        <f t="shared" si="3"/>
        <v>4314</v>
      </c>
      <c r="I32" s="129">
        <f>H55</f>
        <v>4769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0.53336</f>
        <v>0.53335999999999995</v>
      </c>
      <c r="G33" s="134">
        <f>15843.98217</f>
        <v>15843.982169999999</v>
      </c>
      <c r="H33" s="134">
        <f t="shared" si="3"/>
        <v>7742.0178300000007</v>
      </c>
      <c r="I33" s="134">
        <f>18610.75102</f>
        <v>18610.75102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90.50048000000001</v>
      </c>
      <c r="G34" s="134">
        <f>G35+G36</f>
        <v>21088.69023</v>
      </c>
      <c r="H34" s="134">
        <f t="shared" si="3"/>
        <v>244.30976999999984</v>
      </c>
      <c r="I34" s="134">
        <f>I35+I36</f>
        <v>20648.437419999998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55.50048</f>
        <v>55.500480000000003</v>
      </c>
      <c r="G35" s="134">
        <f>24973.69023 - F61 - F62</f>
        <v>20607.69023</v>
      </c>
      <c r="H35" s="129">
        <f t="shared" si="3"/>
        <v>-474.69023000000016</v>
      </c>
      <c r="I35" s="129">
        <f>21778.43742 - H61 - H62</f>
        <v>20111.437419999998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35</v>
      </c>
      <c r="G36" s="73">
        <f>F60</f>
        <v>481</v>
      </c>
      <c r="H36" s="73">
        <f t="shared" si="3"/>
        <v>719</v>
      </c>
      <c r="I36" s="73">
        <f>H60</f>
        <v>537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549.2454</f>
        <v>549.24540000000002</v>
      </c>
      <c r="H37" s="141">
        <f t="shared" si="3"/>
        <v>2450.7546000000002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1.065</f>
        <v>1.0649999999999999</v>
      </c>
      <c r="G38" s="100">
        <f>488.23724</f>
        <v>488.23723999999999</v>
      </c>
      <c r="H38" s="100">
        <f t="shared" si="3"/>
        <v>362.76276000000001</v>
      </c>
      <c r="I38" s="100">
        <f>460.45963</f>
        <v>460.45963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10</v>
      </c>
      <c r="G39" s="100">
        <f>F61</f>
        <v>4366</v>
      </c>
      <c r="H39" s="100">
        <f t="shared" si="3"/>
        <v>-1318</v>
      </c>
      <c r="I39" s="100">
        <f>H61</f>
        <v>1667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4.155</f>
        <v>4.1550000000000002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1257.3802000000001</v>
      </c>
      <c r="G44" s="78">
        <f t="shared" si="4"/>
        <v>242158.84271000003</v>
      </c>
      <c r="H44" s="78">
        <f t="shared" si="4"/>
        <v>56537.157289999974</v>
      </c>
      <c r="I44" s="78">
        <f t="shared" si="4"/>
        <v>291413.26295999996</v>
      </c>
      <c r="J44" s="242"/>
    </row>
    <row r="45" spans="1:13" ht="14.1" customHeight="1" x14ac:dyDescent="0.25">
      <c r="A45" s="101"/>
      <c r="B45" s="24"/>
      <c r="C45" s="80" t="s">
        <v>128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147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127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143</v>
      </c>
      <c r="F54" s="68" t="s">
        <v>144</v>
      </c>
      <c r="G54" s="68" t="s">
        <v>145</v>
      </c>
      <c r="H54" s="68" t="s">
        <v>146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510</v>
      </c>
      <c r="F55" s="11">
        <f>F59+F58+F57+F56</f>
        <v>5350</v>
      </c>
      <c r="G55" s="299">
        <f>D55-F55</f>
        <v>4490</v>
      </c>
      <c r="H55" s="11">
        <f>H59+H58+H57+H56</f>
        <v>4769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52</v>
      </c>
      <c r="F56" s="129">
        <v>639</v>
      </c>
      <c r="G56" s="300"/>
      <c r="H56" s="129">
        <v>560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201</v>
      </c>
      <c r="F57" s="129">
        <v>1385</v>
      </c>
      <c r="G57" s="300"/>
      <c r="H57" s="129">
        <v>1757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151</v>
      </c>
      <c r="F58" s="129">
        <v>2245</v>
      </c>
      <c r="G58" s="300"/>
      <c r="H58" s="129">
        <v>1550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106</v>
      </c>
      <c r="F59" s="194">
        <v>1081</v>
      </c>
      <c r="G59" s="301"/>
      <c r="H59" s="194">
        <v>902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35</v>
      </c>
      <c r="F60" s="97">
        <v>481</v>
      </c>
      <c r="G60" s="97">
        <f>D60-F60</f>
        <v>719</v>
      </c>
      <c r="H60" s="97">
        <v>537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10</v>
      </c>
      <c r="F61" s="141">
        <v>4366</v>
      </c>
      <c r="G61" s="141">
        <f>D61-F61</f>
        <v>-1366</v>
      </c>
      <c r="H61" s="141">
        <v>1667</v>
      </c>
      <c r="I61" s="256"/>
      <c r="J61" s="242"/>
    </row>
    <row r="62" spans="1:10" ht="14.1" customHeight="1" x14ac:dyDescent="0.25">
      <c r="A62" s="101"/>
      <c r="B62" s="24"/>
      <c r="C62" s="80" t="s">
        <v>124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76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137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143</v>
      </c>
      <c r="G91" s="15" t="s">
        <v>144</v>
      </c>
      <c r="H91" s="15" t="s">
        <v>145</v>
      </c>
      <c r="I91" s="15" t="s">
        <v>146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0.94079999999999997</v>
      </c>
      <c r="G92" s="11">
        <f t="shared" si="5"/>
        <v>39271.364710000002</v>
      </c>
      <c r="H92" s="11">
        <f t="shared" si="5"/>
        <v>-4472.3647100000017</v>
      </c>
      <c r="I92" s="11">
        <f t="shared" si="5"/>
        <v>36329.835590000002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0.9408</f>
        <v>0.94079999999999997</v>
      </c>
      <c r="G93" s="23">
        <f>38770.08232</f>
        <v>38770.082320000001</v>
      </c>
      <c r="H93" s="23">
        <f>E93-G93</f>
        <v>-4783.0823200000013</v>
      </c>
      <c r="I93" s="23">
        <f>35615.10192</f>
        <v>35615.101920000001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501.28239</f>
        <v>501.28239000000002</v>
      </c>
      <c r="H94" s="52">
        <f>E94-G94</f>
        <v>310.71760999999998</v>
      </c>
      <c r="I94" s="52">
        <f>714.73367</f>
        <v>714.73366999999996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531.85371999999995</v>
      </c>
      <c r="G95" s="11">
        <f t="shared" si="6"/>
        <v>27929.481370000001</v>
      </c>
      <c r="H95" s="11">
        <f t="shared" si="6"/>
        <v>31570.518630000006</v>
      </c>
      <c r="I95" s="11">
        <f t="shared" si="6"/>
        <v>32572.884479999997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466.39019999999999</v>
      </c>
      <c r="G96" s="134">
        <f t="shared" si="7"/>
        <v>20145.502650000002</v>
      </c>
      <c r="H96" s="134">
        <f t="shared" si="7"/>
        <v>24345.497350000005</v>
      </c>
      <c r="I96" s="134">
        <f t="shared" si="7"/>
        <v>25481.801549999996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139.50315</f>
        <v>139.50315000000001</v>
      </c>
      <c r="G97" s="129">
        <f>2969.71113</f>
        <v>2969.7111300000001</v>
      </c>
      <c r="H97" s="129">
        <f t="shared" ref="H97:H104" si="8">E97-G97</f>
        <v>8913.988870000001</v>
      </c>
      <c r="I97" s="129">
        <f>2841.45716</f>
        <v>2841.4571599999999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83.53553</f>
        <v>83.535529999999994</v>
      </c>
      <c r="G98" s="129">
        <f>5979.89297</f>
        <v>5979.8929699999999</v>
      </c>
      <c r="H98" s="129">
        <f t="shared" si="8"/>
        <v>6685.2070300000005</v>
      </c>
      <c r="I98" s="129">
        <f>8645.21849</f>
        <v>8645.2184899999993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212.40245</f>
        <v>212.40244999999999</v>
      </c>
      <c r="G99" s="129">
        <f>6274.14813</f>
        <v>6274.1481299999996</v>
      </c>
      <c r="H99" s="129">
        <f t="shared" si="8"/>
        <v>5691.4518700000008</v>
      </c>
      <c r="I99" s="129">
        <f>7076.89095</f>
        <v>7076.89095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30.94907</f>
        <v>30.949069999999999</v>
      </c>
      <c r="G100" s="129">
        <f>4921.75042</f>
        <v>4921.7504200000003</v>
      </c>
      <c r="H100" s="129">
        <f t="shared" si="8"/>
        <v>3054.8495800000001</v>
      </c>
      <c r="I100" s="129">
        <f>6918.23495</f>
        <v>6918.23495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0.52098</f>
        <v>0.52098</v>
      </c>
      <c r="G101" s="134">
        <f>6296.42725</f>
        <v>6296.4272499999997</v>
      </c>
      <c r="H101" s="134">
        <f t="shared" si="8"/>
        <v>4094.5727500000003</v>
      </c>
      <c r="I101" s="134">
        <f>5876.25288</f>
        <v>5876.25288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64.94254</f>
        <v>64.942539999999994</v>
      </c>
      <c r="G102" s="77">
        <f>1487.55147</f>
        <v>1487.5514700000001</v>
      </c>
      <c r="H102" s="77">
        <f t="shared" si="8"/>
        <v>3130.4485299999997</v>
      </c>
      <c r="I102" s="77">
        <f>1214.83005</f>
        <v>1214.83005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0.53771</f>
        <v>0.53771000000000002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533.33222999999987</v>
      </c>
      <c r="G107" s="78">
        <f t="shared" si="9"/>
        <v>67520.862549999991</v>
      </c>
      <c r="H107" s="78">
        <f t="shared" si="9"/>
        <v>27448.137450000017</v>
      </c>
      <c r="I107" s="78">
        <f t="shared" si="9"/>
        <v>69268.449679999991</v>
      </c>
      <c r="J107" s="242"/>
    </row>
    <row r="108" spans="1:10" ht="13.5" customHeight="1" x14ac:dyDescent="0.25">
      <c r="A108" s="1"/>
      <c r="B108" s="252"/>
      <c r="C108" s="80" t="s">
        <v>126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148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125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129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143</v>
      </c>
      <c r="G127" s="15" t="s">
        <v>144</v>
      </c>
      <c r="H127" s="15" t="s">
        <v>145</v>
      </c>
      <c r="I127" s="15" t="s">
        <v>146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4.2268499999999998</v>
      </c>
      <c r="G128" s="11">
        <f t="shared" si="11"/>
        <v>43602.735110000001</v>
      </c>
      <c r="H128" s="11">
        <f t="shared" si="11"/>
        <v>27104.264889999999</v>
      </c>
      <c r="I128" s="11">
        <f t="shared" si="11"/>
        <v>43779.101329999998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4.22685</f>
        <v>4.2268499999999998</v>
      </c>
      <c r="G129" s="23">
        <f>38588.03734</f>
        <v>38588.037340000003</v>
      </c>
      <c r="H129" s="23">
        <f>E129-G129</f>
        <v>17636.962659999997</v>
      </c>
      <c r="I129" s="23">
        <f>37298.21217</f>
        <v>37298.212169999999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5014.69777</f>
        <v>5014.6977699999998</v>
      </c>
      <c r="H130" s="23">
        <f>E130-G130</f>
        <v>8967.3022300000011</v>
      </c>
      <c r="I130" s="23">
        <f>6480.88916</f>
        <v>6480.8891599999997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713.303</f>
        <v>713.303</v>
      </c>
      <c r="G132" s="97">
        <f>37170.75703+6209.23139</f>
        <v>43379.988420000001</v>
      </c>
      <c r="H132" s="97">
        <f>E132-G132</f>
        <v>5905.0115799999985</v>
      </c>
      <c r="I132" s="97">
        <f>38089.07548</f>
        <v>38089.07548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1931.44146</v>
      </c>
      <c r="G133" s="96">
        <f t="shared" ref="G133" si="12">G134+G139+G142</f>
        <v>55701.206579999998</v>
      </c>
      <c r="H133" s="96">
        <f>H134+H139+H142</f>
        <v>25410.793419999998</v>
      </c>
      <c r="I133" s="96">
        <f>I134+I139+I142</f>
        <v>55286.593500000003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1582.10177</v>
      </c>
      <c r="G134" s="127">
        <f>G135+G136+G138+G137</f>
        <v>42946.074439999997</v>
      </c>
      <c r="H134" s="127">
        <f>H135+H136+H137+H138</f>
        <v>16686.92556</v>
      </c>
      <c r="I134" s="127">
        <f>I135+I136+I137+I138</f>
        <v>43572.399649999999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280.99225</f>
        <v>280.99225000000001</v>
      </c>
      <c r="G135" s="129">
        <v>7506.7730099999999</v>
      </c>
      <c r="H135" s="129">
        <f>E135-G135</f>
        <v>10031.226989999999</v>
      </c>
      <c r="I135" s="129">
        <f>6783.23537</f>
        <v>6783.2353700000003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417.39777</f>
        <v>417.39776999999998</v>
      </c>
      <c r="G136" s="129">
        <v>12544.23726</v>
      </c>
      <c r="H136" s="129">
        <f>E136-G136</f>
        <v>2573.7627400000001</v>
      </c>
      <c r="I136" s="129">
        <f>10087.8144</f>
        <v>10087.814399999999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574.71691</f>
        <v>574.71690999999998</v>
      </c>
      <c r="G137" s="129">
        <v>12786.166569999999</v>
      </c>
      <c r="H137" s="129">
        <f>E137-G137</f>
        <v>2269.8334300000006</v>
      </c>
      <c r="I137" s="129">
        <f>14130.20158</f>
        <v>14130.201580000001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308.99484</f>
        <v>308.99484000000001</v>
      </c>
      <c r="G138" s="129">
        <v>10108.8976</v>
      </c>
      <c r="H138" s="129">
        <f>E138-G138</f>
        <v>1812.1023999999998</v>
      </c>
      <c r="I138" s="129">
        <f>12571.1483</f>
        <v>12571.148300000001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8.3735999999999997</v>
      </c>
      <c r="G139" s="134">
        <f>SUM(G140:G141)</f>
        <v>6912.8520399999998</v>
      </c>
      <c r="H139" s="134">
        <f>H140+H141</f>
        <v>2538.1479599999998</v>
      </c>
      <c r="I139" s="134">
        <f>SUM(I140:I141)</f>
        <v>6185.0975600000002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0</f>
        <v>0</v>
      </c>
      <c r="G140" s="129">
        <f>6680.31278</f>
        <v>6680.3127800000002</v>
      </c>
      <c r="H140" s="129">
        <f t="shared" ref="H140:H147" si="13">E140-G140</f>
        <v>2270.6872199999998</v>
      </c>
      <c r="I140" s="129">
        <f>5969.63413</f>
        <v>5969.6341300000004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8.3736</f>
        <v>8.3735999999999997</v>
      </c>
      <c r="G141" s="129">
        <f>232.53926</f>
        <v>232.53926000000001</v>
      </c>
      <c r="H141" s="129">
        <f t="shared" si="13"/>
        <v>267.46073999999999</v>
      </c>
      <c r="I141" s="129">
        <f>215.46343</f>
        <v>215.46342999999999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340.96609</f>
        <v>340.96609000000001</v>
      </c>
      <c r="G142" s="77">
        <f>5842.2801</f>
        <v>5842.2800999999999</v>
      </c>
      <c r="H142" s="77">
        <f t="shared" si="13"/>
        <v>6185.7199000000001</v>
      </c>
      <c r="I142" s="77">
        <f>5529.09629</f>
        <v>5529.0962900000004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30.361</f>
        <v>30.361000000000001</v>
      </c>
      <c r="H143" s="141">
        <f t="shared" si="13"/>
        <v>106.639</v>
      </c>
      <c r="I143" s="141">
        <f>21.55052</f>
        <v>21.550519999999999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12.30868</f>
        <v>12.308680000000001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3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2661.27999</v>
      </c>
      <c r="G150" s="78">
        <f>G128+G132+G133+G143+G144+G145+G146+G147+G148</f>
        <v>144976.87211000003</v>
      </c>
      <c r="H150" s="78">
        <f>H128+H132+H133+H143+H144+H145+H146+H147+H148</f>
        <v>58709.127890000003</v>
      </c>
      <c r="I150" s="78">
        <f>I128+I132+I133+I143+I144+I145+I146+I147+I148</f>
        <v>139483.29682999998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130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73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74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131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76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143</v>
      </c>
      <c r="F174" s="15" t="s">
        <v>144</v>
      </c>
      <c r="G174" s="56" t="s">
        <v>145</v>
      </c>
      <c r="H174" s="15" t="s">
        <v>146</v>
      </c>
      <c r="I174" s="159"/>
      <c r="J174" s="278"/>
    </row>
    <row r="175" spans="1:10" ht="14.1" customHeight="1" x14ac:dyDescent="0.25">
      <c r="A175" s="1"/>
      <c r="B175" s="252"/>
      <c r="C175" s="143" t="s">
        <v>77</v>
      </c>
      <c r="D175" s="96">
        <v>4988</v>
      </c>
      <c r="E175" s="274">
        <f>0</f>
        <v>0</v>
      </c>
      <c r="F175" s="274">
        <f>1379.12795</f>
        <v>1379.1279500000001</v>
      </c>
      <c r="G175" s="45">
        <f>D175-F175-F176</f>
        <v>1963.1188399999999</v>
      </c>
      <c r="H175" s="274">
        <f>1121.81253</f>
        <v>1121.8125299999999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1645.75321</f>
        <v>1645.7532100000001</v>
      </c>
      <c r="G176" s="215"/>
      <c r="H176" s="154">
        <f>1418.93599</f>
        <v>1418.9359899999999</v>
      </c>
      <c r="I176" s="1"/>
      <c r="J176" s="122"/>
    </row>
    <row r="177" spans="1:10" ht="15.6" customHeight="1" x14ac:dyDescent="0.25">
      <c r="A177" s="1"/>
      <c r="B177" s="252"/>
      <c r="C177" s="171" t="s">
        <v>78</v>
      </c>
      <c r="D177" s="100">
        <v>200</v>
      </c>
      <c r="E177" s="174">
        <f>0.09608</f>
        <v>9.6079999999999999E-2</v>
      </c>
      <c r="F177" s="174">
        <f>71.66824</f>
        <v>71.668239999999997</v>
      </c>
      <c r="G177" s="174">
        <f>D177-F177</f>
        <v>128.33176</v>
      </c>
      <c r="H177" s="174">
        <f>49.9242</f>
        <v>49.924199999999999</v>
      </c>
      <c r="I177" s="1"/>
      <c r="J177" s="122"/>
    </row>
    <row r="178" spans="1:10" ht="14.1" customHeight="1" x14ac:dyDescent="0.25">
      <c r="A178" s="70"/>
      <c r="B178" s="81"/>
      <c r="C178" s="182" t="s">
        <v>79</v>
      </c>
      <c r="D178" s="183">
        <v>7481</v>
      </c>
      <c r="E178" s="183">
        <f>E179+E180+E181</f>
        <v>50.034610000000001</v>
      </c>
      <c r="F178" s="183">
        <f>F179+F180+F181</f>
        <v>7916.5029799999993</v>
      </c>
      <c r="G178" s="183">
        <f>D178-F178</f>
        <v>-435.5029799999993</v>
      </c>
      <c r="H178" s="183">
        <f>H179+H180+H181</f>
        <v>7587.8863099999999</v>
      </c>
      <c r="I178" s="70"/>
      <c r="J178" s="118"/>
    </row>
    <row r="179" spans="1:10" ht="14.1" customHeight="1" x14ac:dyDescent="0.25">
      <c r="A179" s="199"/>
      <c r="B179" s="184"/>
      <c r="C179" s="185" t="s">
        <v>80</v>
      </c>
      <c r="D179" s="129"/>
      <c r="E179" s="129">
        <f>6.54688</f>
        <v>6.5468799999999998</v>
      </c>
      <c r="F179" s="129">
        <f>4146.54982</f>
        <v>4146.5498200000002</v>
      </c>
      <c r="G179" s="129"/>
      <c r="H179" s="129">
        <f>3955.43864</f>
        <v>3955.4386399999999</v>
      </c>
      <c r="I179" s="188"/>
      <c r="J179" s="131"/>
    </row>
    <row r="180" spans="1:10" ht="14.1" customHeight="1" x14ac:dyDescent="0.25">
      <c r="A180" s="199"/>
      <c r="B180" s="184"/>
      <c r="C180" s="185" t="s">
        <v>81</v>
      </c>
      <c r="D180" s="129"/>
      <c r="E180" s="129">
        <f>19.66825</f>
        <v>19.66825</v>
      </c>
      <c r="F180" s="129">
        <f>2386.83348</f>
        <v>2386.8334799999998</v>
      </c>
      <c r="G180" s="129"/>
      <c r="H180" s="129">
        <f>2339.27382</f>
        <v>2339.2738199999999</v>
      </c>
      <c r="I180" s="188"/>
      <c r="J180" s="189"/>
    </row>
    <row r="181" spans="1:10" ht="14.1" customHeight="1" x14ac:dyDescent="0.25">
      <c r="A181" s="199"/>
      <c r="B181" s="184"/>
      <c r="C181" s="191" t="s">
        <v>82</v>
      </c>
      <c r="D181" s="194"/>
      <c r="E181" s="194">
        <f>23.81948</f>
        <v>23.819479999999999</v>
      </c>
      <c r="F181" s="194">
        <f>1383.11968</f>
        <v>1383.11968</v>
      </c>
      <c r="G181" s="194"/>
      <c r="H181" s="194">
        <f>1293.17385</f>
        <v>1293.1738499999999</v>
      </c>
      <c r="I181" s="188"/>
      <c r="J181" s="189"/>
    </row>
    <row r="182" spans="1:10" ht="14.1" customHeight="1" x14ac:dyDescent="0.25">
      <c r="A182" s="1"/>
      <c r="B182" s="252"/>
      <c r="C182" s="75" t="s">
        <v>83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84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50.130690000000001</v>
      </c>
      <c r="F184" s="196">
        <f>F175+F176+F177+F178+F182+F183</f>
        <v>11013.052379999999</v>
      </c>
      <c r="G184" s="196">
        <f>D184-F184</f>
        <v>1721.9476200000008</v>
      </c>
      <c r="H184" s="196">
        <f>H175+H176+H177+H178+H182+H183</f>
        <v>10178.55903</v>
      </c>
      <c r="I184" s="165"/>
      <c r="J184" s="162"/>
    </row>
    <row r="185" spans="1:10" ht="42" customHeight="1" x14ac:dyDescent="0.25">
      <c r="A185" s="1"/>
      <c r="B185" s="200"/>
      <c r="C185" s="225" t="s">
        <v>132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85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86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87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88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133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134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135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143</v>
      </c>
      <c r="F203" s="68" t="s">
        <v>144</v>
      </c>
      <c r="G203" s="68" t="s">
        <v>145</v>
      </c>
      <c r="H203" s="68" t="s">
        <v>146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0</f>
        <v>0</v>
      </c>
      <c r="F204" s="124">
        <f>39470.91373</f>
        <v>39470.91373</v>
      </c>
      <c r="G204" s="124">
        <f>D204-F204</f>
        <v>4368.0862699999998</v>
      </c>
      <c r="H204" s="124">
        <f>34386.03681</f>
        <v>34386.036809999998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0.0895</f>
        <v>8.9499999999999996E-2</v>
      </c>
      <c r="F205" s="124">
        <f>57.13155</f>
        <v>57.131549999999997</v>
      </c>
      <c r="G205" s="124">
        <f>D205-F205</f>
        <v>42.868450000000003</v>
      </c>
      <c r="H205" s="124">
        <f>39.08031</f>
        <v>39.080309999999997</v>
      </c>
      <c r="I205" s="246"/>
      <c r="J205" s="122"/>
    </row>
    <row r="206" spans="1:10" ht="15.75" customHeight="1" x14ac:dyDescent="0.25">
      <c r="A206" s="1"/>
      <c r="B206" s="252"/>
      <c r="C206" s="146" t="s">
        <v>83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89</v>
      </c>
      <c r="D207" s="190">
        <f>SUM(D204:D206)</f>
        <v>43981</v>
      </c>
      <c r="E207" s="190">
        <f>SUM(E204:E206)</f>
        <v>8.9499999999999996E-2</v>
      </c>
      <c r="F207" s="190">
        <f>SUM(F204:F206)</f>
        <v>39528.045279999998</v>
      </c>
      <c r="G207" s="190">
        <f>D207-F207</f>
        <v>4452.9547200000015</v>
      </c>
      <c r="H207" s="190">
        <f>SUM(H204:H206)</f>
        <v>34425.117119999995</v>
      </c>
      <c r="I207" s="246"/>
      <c r="J207" s="122"/>
    </row>
    <row r="208" spans="1:10" ht="17.100000000000001" customHeight="1" x14ac:dyDescent="0.25">
      <c r="A208" s="1"/>
      <c r="B208" s="166"/>
      <c r="C208" s="201" t="s">
        <v>90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138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120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143</v>
      </c>
      <c r="F248" s="68" t="s">
        <v>144</v>
      </c>
      <c r="G248" s="68" t="s">
        <v>145</v>
      </c>
      <c r="H248" s="68" t="s">
        <v>146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164.72476</f>
        <v>164.72476</v>
      </c>
      <c r="F249" s="77">
        <f>3356.57255</f>
        <v>3356.5725499999999</v>
      </c>
      <c r="G249" s="77"/>
      <c r="H249" s="77">
        <f>2149.60815</f>
        <v>2149.60815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73.47796</f>
        <v>73.477959999999996</v>
      </c>
      <c r="F250" s="77">
        <f>4861.33353</f>
        <v>4861.3335299999999</v>
      </c>
      <c r="G250" s="77"/>
      <c r="H250" s="77">
        <f>4299.14019</f>
        <v>4299.1401900000001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1.76594</f>
        <v>1.7659400000000001</v>
      </c>
      <c r="F251" s="124">
        <f>518.66911</f>
        <v>518.66911000000005</v>
      </c>
      <c r="G251" s="168"/>
      <c r="H251" s="124">
        <f>489.23874</f>
        <v>489.23874000000001</v>
      </c>
      <c r="I251" s="246"/>
      <c r="J251" s="122"/>
    </row>
    <row r="252" spans="1:10" ht="16.5" customHeight="1" x14ac:dyDescent="0.25">
      <c r="A252" s="1"/>
      <c r="B252" s="252"/>
      <c r="C252" s="179" t="s">
        <v>89</v>
      </c>
      <c r="D252" s="190">
        <v>10454</v>
      </c>
      <c r="E252" s="190">
        <f>SUM(E249:E251)</f>
        <v>239.96866</v>
      </c>
      <c r="F252" s="190">
        <f>SUM(F249:F251)</f>
        <v>8736.5751900000014</v>
      </c>
      <c r="G252" s="190">
        <f>D252-F252</f>
        <v>1717.4248099999986</v>
      </c>
      <c r="H252" s="190">
        <f>SUM(H249:H251)</f>
        <v>6937.9870799999999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120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139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120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147.6858</f>
        <v>147.6858</v>
      </c>
      <c r="F294" s="77">
        <f>5032.22747</f>
        <v>5032.2274699999998</v>
      </c>
      <c r="G294" s="77"/>
      <c r="H294" s="77">
        <f>2772.33137</f>
        <v>2772.3313699999999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82.61486</f>
        <v>82.614859999999993</v>
      </c>
      <c r="F295" s="77">
        <f>2923.42036</f>
        <v>2923.4203600000001</v>
      </c>
      <c r="G295" s="77"/>
      <c r="H295" s="77">
        <f>2417.89912</f>
        <v>2417.89912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1.71122</f>
        <v>1.71122</v>
      </c>
      <c r="F296" s="124">
        <f>418.16858</f>
        <v>418.16858000000002</v>
      </c>
      <c r="G296" s="168"/>
      <c r="H296" s="124">
        <f>451.51146</f>
        <v>451.51146</v>
      </c>
      <c r="I296" s="246"/>
      <c r="J296" s="122"/>
    </row>
    <row r="297" spans="1:10" ht="16.5" customHeight="1" x14ac:dyDescent="0.25">
      <c r="A297" s="1"/>
      <c r="B297" s="252"/>
      <c r="C297" s="179" t="s">
        <v>89</v>
      </c>
      <c r="D297" s="190">
        <v>8076</v>
      </c>
      <c r="E297" s="190">
        <f>SUM(E294:E296)</f>
        <v>232.01187999999999</v>
      </c>
      <c r="F297" s="190">
        <f>SUM(F294:F296)</f>
        <v>8373.8164099999995</v>
      </c>
      <c r="G297" s="190">
        <f>D297-F297</f>
        <v>-297.81640999999945</v>
      </c>
      <c r="H297" s="190">
        <f>SUM(H294:H296)</f>
        <v>5641.7419499999996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120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91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120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86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92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93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76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94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95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96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143</v>
      </c>
      <c r="F347" s="68" t="s">
        <v>144</v>
      </c>
      <c r="G347" s="68" t="s">
        <v>145</v>
      </c>
      <c r="H347" s="68" t="s">
        <v>146</v>
      </c>
      <c r="I347" s="1"/>
      <c r="J347" s="118"/>
    </row>
    <row r="348" spans="1:10" ht="14.1" customHeight="1" x14ac:dyDescent="0.25">
      <c r="A348" s="70"/>
      <c r="B348" s="81"/>
      <c r="C348" s="90" t="s">
        <v>97</v>
      </c>
      <c r="D348" s="124">
        <v>800</v>
      </c>
      <c r="E348" s="124">
        <f>15.8942</f>
        <v>15.8942</v>
      </c>
      <c r="F348" s="124">
        <f>456.45019</f>
        <v>456.45019000000002</v>
      </c>
      <c r="G348" s="124">
        <f>D348-F348</f>
        <v>343.54980999999998</v>
      </c>
      <c r="H348" s="124">
        <f>256.38266</f>
        <v>256.38265999999999</v>
      </c>
      <c r="I348" s="70"/>
      <c r="J348" s="242"/>
    </row>
    <row r="349" spans="1:10" ht="14.1" customHeight="1" x14ac:dyDescent="0.25">
      <c r="A349" s="1"/>
      <c r="B349" s="252"/>
      <c r="C349" s="90" t="s">
        <v>98</v>
      </c>
      <c r="D349" s="244">
        <v>2494</v>
      </c>
      <c r="E349" s="124">
        <f>72.39115</f>
        <v>72.391149999999996</v>
      </c>
      <c r="F349" s="124">
        <f>2354.66198</f>
        <v>2354.6619799999999</v>
      </c>
      <c r="G349" s="124">
        <f>D349-F349</f>
        <v>139.33802000000014</v>
      </c>
      <c r="H349" s="124">
        <f>1392.18812</f>
        <v>1392.18812</v>
      </c>
      <c r="I349" s="181"/>
      <c r="J349" s="118"/>
    </row>
    <row r="350" spans="1:10" ht="16.5" customHeight="1" x14ac:dyDescent="0.25">
      <c r="A350" s="70"/>
      <c r="B350" s="81"/>
      <c r="C350" s="146" t="s">
        <v>83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0.9582</f>
        <v>0.95820000000000005</v>
      </c>
      <c r="I350" s="70"/>
      <c r="J350" s="247"/>
    </row>
    <row r="351" spans="1:10" ht="18.75" customHeight="1" x14ac:dyDescent="0.25">
      <c r="A351" s="70"/>
      <c r="B351" s="248"/>
      <c r="C351" s="146" t="s">
        <v>99</v>
      </c>
      <c r="D351" s="220"/>
      <c r="E351" s="168">
        <f>0.021</f>
        <v>2.1000000000000001E-2</v>
      </c>
      <c r="F351" s="168">
        <f>1.7076</f>
        <v>1.7076</v>
      </c>
      <c r="G351" s="124"/>
      <c r="H351" s="168">
        <f>6.75208</f>
        <v>6.7520800000000003</v>
      </c>
      <c r="I351" s="282"/>
      <c r="J351" s="122"/>
    </row>
    <row r="352" spans="1:10" ht="14.1" customHeight="1" x14ac:dyDescent="0.25">
      <c r="A352" s="1"/>
      <c r="B352" s="252"/>
      <c r="C352" s="179" t="s">
        <v>89</v>
      </c>
      <c r="D352" s="6">
        <f>D337</f>
        <v>3299</v>
      </c>
      <c r="E352" s="190">
        <f>SUM(E348:E351)</f>
        <v>88.306349999999995</v>
      </c>
      <c r="F352" s="190">
        <f>SUM(F348:F351)</f>
        <v>2815.5585099999998</v>
      </c>
      <c r="G352" s="190">
        <f>D352-F352</f>
        <v>483.44149000000016</v>
      </c>
      <c r="H352" s="190">
        <f>H348+H349+H350+H351</f>
        <v>1656.28106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120</v>
      </c>
    </row>
    <row r="356" spans="1:10" ht="14.1" customHeight="1" x14ac:dyDescent="0.25">
      <c r="A356" s="1" t="s">
        <v>120</v>
      </c>
    </row>
    <row r="357" spans="1:10" ht="14.1" customHeight="1" x14ac:dyDescent="0.25">
      <c r="A357" s="1" t="s">
        <v>120</v>
      </c>
    </row>
    <row r="358" spans="1:10" ht="14.1" customHeight="1" x14ac:dyDescent="0.25">
      <c r="A358" s="1"/>
      <c r="C358" s="152" t="s">
        <v>120</v>
      </c>
    </row>
    <row r="359" spans="1:10" ht="36" customHeight="1" x14ac:dyDescent="0.25">
      <c r="A359" s="1"/>
      <c r="C359" s="152" t="s">
        <v>120</v>
      </c>
    </row>
    <row r="360" spans="1:10" ht="14.1" customHeight="1" x14ac:dyDescent="0.25">
      <c r="A360" s="1"/>
      <c r="C360" s="152" t="s">
        <v>120</v>
      </c>
    </row>
    <row r="361" spans="1:10" ht="14.1" customHeight="1" x14ac:dyDescent="0.25">
      <c r="A361" s="1"/>
      <c r="C361" s="152" t="s">
        <v>120</v>
      </c>
    </row>
    <row r="362" spans="1:10" ht="30" customHeight="1" x14ac:dyDescent="0.35">
      <c r="A362" s="216"/>
      <c r="B362" s="1"/>
      <c r="C362" s="213" t="s">
        <v>100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101</v>
      </c>
      <c r="F365" s="187"/>
      <c r="G365" s="151" t="s">
        <v>102</v>
      </c>
      <c r="H365" s="187"/>
      <c r="I365" s="152"/>
      <c r="J365" s="132"/>
    </row>
    <row r="366" spans="1:10" ht="14.25" customHeight="1" x14ac:dyDescent="0.25">
      <c r="B366" s="74"/>
      <c r="C366" s="257" t="s">
        <v>86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93</v>
      </c>
      <c r="D367" s="46">
        <v>19433</v>
      </c>
      <c r="E367" s="181" t="s">
        <v>98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92</v>
      </c>
      <c r="D368" s="46">
        <v>6186</v>
      </c>
      <c r="E368" s="181" t="s">
        <v>60</v>
      </c>
      <c r="F368" s="49">
        <v>5500</v>
      </c>
      <c r="G368" s="246" t="s">
        <v>103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104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105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121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106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107</v>
      </c>
      <c r="F377" s="221" t="s">
        <v>143</v>
      </c>
      <c r="G377" s="221" t="s">
        <v>144</v>
      </c>
      <c r="H377" s="221" t="s">
        <v>145</v>
      </c>
      <c r="I377" s="221" t="s">
        <v>146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283.69565</v>
      </c>
      <c r="G378" s="251">
        <f t="shared" si="15"/>
        <v>11766.87379</v>
      </c>
      <c r="H378" s="251">
        <f>H382+H381+H380+H379</f>
        <v>4335.1262100000004</v>
      </c>
      <c r="I378" s="251">
        <f t="shared" si="15"/>
        <v>4321.5152899999994</v>
      </c>
      <c r="J378" s="132"/>
    </row>
    <row r="379" spans="1:10" ht="14.1" customHeight="1" x14ac:dyDescent="0.25">
      <c r="A379" s="216"/>
      <c r="B379" s="74"/>
      <c r="C379" s="253" t="s">
        <v>108</v>
      </c>
      <c r="D379" s="254">
        <v>6472</v>
      </c>
      <c r="E379" s="254">
        <v>8177</v>
      </c>
      <c r="F379" s="255">
        <f>135.07425</f>
        <v>135.07425000000001</v>
      </c>
      <c r="G379" s="255">
        <f>6159.82535</f>
        <v>6159.8253500000001</v>
      </c>
      <c r="H379" s="255">
        <f t="shared" ref="H379:H383" si="16">E379-G379</f>
        <v>2017.1746499999999</v>
      </c>
      <c r="I379" s="255">
        <f>1823.99638</f>
        <v>1823.99638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1375.2045</f>
        <v>1375.2045000000001</v>
      </c>
      <c r="H380" s="255">
        <f t="shared" si="16"/>
        <v>752.79549999999995</v>
      </c>
      <c r="I380" s="255">
        <f>490.4118</f>
        <v>490.41180000000003</v>
      </c>
      <c r="J380" s="132"/>
    </row>
    <row r="381" spans="1:10" ht="14.1" customHeight="1" x14ac:dyDescent="0.25">
      <c r="A381" s="216"/>
      <c r="B381" s="74"/>
      <c r="C381" s="258" t="s">
        <v>104</v>
      </c>
      <c r="D381" s="254">
        <v>1313</v>
      </c>
      <c r="E381" s="254">
        <v>1357</v>
      </c>
      <c r="F381" s="255">
        <f>41.6556</f>
        <v>41.6556</v>
      </c>
      <c r="G381" s="255">
        <f>1652.28464</f>
        <v>1652.2846400000001</v>
      </c>
      <c r="H381" s="255">
        <f t="shared" si="16"/>
        <v>-295.28464000000008</v>
      </c>
      <c r="I381" s="255">
        <f>1244.09331</f>
        <v>1244.09331</v>
      </c>
      <c r="J381" s="132"/>
    </row>
    <row r="382" spans="1:10" ht="14.1" customHeight="1" x14ac:dyDescent="0.25">
      <c r="A382" s="216"/>
      <c r="B382" s="74"/>
      <c r="C382" s="260" t="s">
        <v>109</v>
      </c>
      <c r="D382" s="261">
        <v>4296</v>
      </c>
      <c r="E382" s="261">
        <v>4440</v>
      </c>
      <c r="F382" s="255">
        <f>106.9658</f>
        <v>106.9658</v>
      </c>
      <c r="G382" s="255">
        <f>2579.5593</f>
        <v>2579.5592999999999</v>
      </c>
      <c r="H382" s="255">
        <f t="shared" si="16"/>
        <v>1860.4407000000001</v>
      </c>
      <c r="I382" s="255">
        <f>763.0138</f>
        <v>763.01379999999995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0.454</f>
        <v>0.45400000000000001</v>
      </c>
      <c r="G383" s="266">
        <f>5104.90128</f>
        <v>5104.90128</v>
      </c>
      <c r="H383" s="266">
        <f t="shared" si="16"/>
        <v>395.09871999999996</v>
      </c>
      <c r="I383" s="266">
        <f>4542.81368</f>
        <v>4542.8136800000002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177.88809000000001</v>
      </c>
      <c r="G384" s="267">
        <f>G386+G385</f>
        <v>3219.7164999999995</v>
      </c>
      <c r="H384" s="267">
        <f>E384-G384</f>
        <v>4780.2835000000005</v>
      </c>
      <c r="I384" s="267">
        <f>I386+I385</f>
        <v>3190.2737999999999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851.59655</f>
        <v>851.59654999999998</v>
      </c>
      <c r="H385" s="255"/>
      <c r="I385" s="255">
        <f>1131.93431</f>
        <v>1131.9343100000001</v>
      </c>
      <c r="J385" s="132"/>
    </row>
    <row r="386" spans="1:10" ht="14.1" customHeight="1" x14ac:dyDescent="0.25">
      <c r="A386" s="216"/>
      <c r="B386" s="74"/>
      <c r="C386" s="271" t="s">
        <v>110</v>
      </c>
      <c r="D386" s="272"/>
      <c r="E386" s="275"/>
      <c r="F386" s="276">
        <f>177.88809</f>
        <v>177.88809000000001</v>
      </c>
      <c r="G386" s="276">
        <f>2368.11995</f>
        <v>2368.1199499999998</v>
      </c>
      <c r="H386" s="276"/>
      <c r="I386" s="276">
        <f>2058.33949</f>
        <v>2058.3394899999998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0.39555</f>
        <v>0.39555000000000001</v>
      </c>
      <c r="J387" s="132"/>
    </row>
    <row r="388" spans="1:10" ht="14.1" customHeight="1" x14ac:dyDescent="0.25">
      <c r="A388" s="216"/>
      <c r="B388" s="74"/>
      <c r="C388" s="277" t="s">
        <v>111</v>
      </c>
      <c r="D388" s="280"/>
      <c r="E388" s="281"/>
      <c r="F388" s="266">
        <f>0.15</f>
        <v>0.15</v>
      </c>
      <c r="G388" s="266">
        <f>115.18982</f>
        <v>115.18982</v>
      </c>
      <c r="H388" s="266">
        <f>E388-G388</f>
        <v>-115.18982</v>
      </c>
      <c r="I388" s="266">
        <f>231.38861</f>
        <v>231.38861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462.18773999999996</v>
      </c>
      <c r="G389" s="285">
        <f t="shared" si="17"/>
        <v>20206.754889999997</v>
      </c>
      <c r="H389" s="285">
        <f>H378+H383+H384+H387+H388</f>
        <v>9405.2451100000017</v>
      </c>
      <c r="I389" s="285">
        <f t="shared" si="17"/>
        <v>12286.386929999997</v>
      </c>
      <c r="J389" s="132"/>
    </row>
    <row r="390" spans="1:10" ht="14.1" customHeight="1" x14ac:dyDescent="0.25">
      <c r="A390" s="216"/>
      <c r="B390" s="74"/>
      <c r="C390" s="163" t="s">
        <v>112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122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123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120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120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120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113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114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93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76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115</v>
      </c>
      <c r="D410" s="22" t="s">
        <v>116</v>
      </c>
      <c r="E410" s="20" t="s">
        <v>143</v>
      </c>
      <c r="F410" s="20" t="s">
        <v>144</v>
      </c>
      <c r="G410" s="25" t="s">
        <v>145</v>
      </c>
      <c r="H410" s="20" t="s">
        <v>146</v>
      </c>
      <c r="I410" s="222"/>
      <c r="J410" s="13"/>
    </row>
    <row r="411" spans="1:10" ht="14.1" customHeight="1" x14ac:dyDescent="0.25">
      <c r="A411" s="216"/>
      <c r="B411" s="74"/>
      <c r="C411" s="263" t="s">
        <v>117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118</v>
      </c>
      <c r="D414" s="10"/>
      <c r="E414" s="26">
        <f>SUM(E415:E416)</f>
        <v>42.915999999999997</v>
      </c>
      <c r="F414" s="26">
        <f>SUM(F415:F416)</f>
        <v>1452.7289499999999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31.761</f>
        <v>31.760999999999999</v>
      </c>
      <c r="F415" s="30">
        <f>1117.55827</f>
        <v>1117.55827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11.155</f>
        <v>11.154999999999999</v>
      </c>
      <c r="F416" s="30">
        <f>335.17068</f>
        <v>335.17068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119</v>
      </c>
      <c r="D417" s="10"/>
      <c r="E417" s="36">
        <f>SUM(E418:E419)</f>
        <v>1.7789999999999999</v>
      </c>
      <c r="F417" s="36">
        <f>SUM(F418:F419)</f>
        <v>1.7789999999999999</v>
      </c>
      <c r="G417" s="87"/>
      <c r="H417" s="36">
        <f>SUM(H418:H419)</f>
        <v>45.586979999999997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1.148</f>
        <v>1.1479999999999999</v>
      </c>
      <c r="F418" s="30">
        <f>1.148</f>
        <v>1.1479999999999999</v>
      </c>
      <c r="G418" s="99"/>
      <c r="H418" s="30">
        <f>39.31098</f>
        <v>39.310980000000001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0.631</f>
        <v>0.63100000000000001</v>
      </c>
      <c r="F419" s="30">
        <f>0.631</f>
        <v>0.63100000000000001</v>
      </c>
      <c r="G419" s="110"/>
      <c r="H419" s="30">
        <f>6.276</f>
        <v>6.2759999999999998</v>
      </c>
      <c r="I419" s="152"/>
      <c r="J419" s="132"/>
    </row>
    <row r="420" spans="1:10" ht="14.1" customHeight="1" x14ac:dyDescent="0.25">
      <c r="A420" s="216"/>
      <c r="B420" s="74"/>
      <c r="C420" s="277" t="s">
        <v>99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89</v>
      </c>
      <c r="D421" s="41"/>
      <c r="E421" s="42">
        <f>E411+E414+E417+E420</f>
        <v>44.694999999999993</v>
      </c>
      <c r="F421" s="42">
        <f>F411+F414+F417+F420</f>
        <v>3651.2550799999995</v>
      </c>
      <c r="G421" s="43"/>
      <c r="H421" s="42">
        <f>H411+H414+H417+H420</f>
        <v>3244.2821800000002</v>
      </c>
      <c r="I421" s="27"/>
      <c r="J421" s="132"/>
    </row>
    <row r="422" spans="1:10" ht="18.75" customHeight="1" x14ac:dyDescent="0.25">
      <c r="A422" s="216"/>
      <c r="B422" s="74"/>
      <c r="C422" s="152" t="s">
        <v>141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142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35&amp;R04.09.2023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2023-09-04T07:53:01Z</dcterms:modified>
</cp:coreProperties>
</file>