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3\"/>
    </mc:Choice>
  </mc:AlternateContent>
  <xr:revisionPtr revIDLastSave="0" documentId="13_ncr:1_{14EEC29C-E373-4408-A35A-2E65A22F5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19" i="1" l="1"/>
  <c r="F419" i="1"/>
  <c r="E419" i="1"/>
  <c r="H418" i="1"/>
  <c r="F418" i="1"/>
  <c r="E418" i="1"/>
  <c r="E417" i="1" s="1"/>
  <c r="H416" i="1"/>
  <c r="F416" i="1"/>
  <c r="E416" i="1"/>
  <c r="H415" i="1"/>
  <c r="F415" i="1"/>
  <c r="E415" i="1"/>
  <c r="E414" i="1" s="1"/>
  <c r="F414" i="1"/>
  <c r="H413" i="1"/>
  <c r="F413" i="1"/>
  <c r="E413" i="1"/>
  <c r="E411" i="1" s="1"/>
  <c r="H412" i="1"/>
  <c r="F412" i="1"/>
  <c r="E412" i="1"/>
  <c r="E389" i="1"/>
  <c r="D389" i="1"/>
  <c r="I388" i="1"/>
  <c r="G388" i="1"/>
  <c r="H388" i="1" s="1"/>
  <c r="F388" i="1"/>
  <c r="I387" i="1"/>
  <c r="G387" i="1"/>
  <c r="H387" i="1" s="1"/>
  <c r="F387" i="1"/>
  <c r="I386" i="1"/>
  <c r="G386" i="1"/>
  <c r="G384" i="1" s="1"/>
  <c r="H384" i="1" s="1"/>
  <c r="F386" i="1"/>
  <c r="F384" i="1" s="1"/>
  <c r="I385" i="1"/>
  <c r="G385" i="1"/>
  <c r="F385" i="1"/>
  <c r="I383" i="1"/>
  <c r="G383" i="1"/>
  <c r="H383" i="1" s="1"/>
  <c r="F383" i="1"/>
  <c r="I382" i="1"/>
  <c r="G382" i="1"/>
  <c r="H382" i="1" s="1"/>
  <c r="F382" i="1"/>
  <c r="F378" i="1" s="1"/>
  <c r="F389" i="1" s="1"/>
  <c r="I381" i="1"/>
  <c r="G381" i="1"/>
  <c r="H381" i="1" s="1"/>
  <c r="F381" i="1"/>
  <c r="I380" i="1"/>
  <c r="G380" i="1"/>
  <c r="H380" i="1" s="1"/>
  <c r="F380" i="1"/>
  <c r="I379" i="1"/>
  <c r="G379" i="1"/>
  <c r="H379" i="1" s="1"/>
  <c r="F379" i="1"/>
  <c r="E378" i="1"/>
  <c r="D378" i="1"/>
  <c r="H370" i="1"/>
  <c r="F370" i="1"/>
  <c r="D352" i="1"/>
  <c r="H351" i="1"/>
  <c r="F351" i="1"/>
  <c r="E351" i="1"/>
  <c r="H350" i="1"/>
  <c r="F350" i="1"/>
  <c r="G350" i="1" s="1"/>
  <c r="E350" i="1"/>
  <c r="H349" i="1"/>
  <c r="F349" i="1"/>
  <c r="G349" i="1" s="1"/>
  <c r="E349" i="1"/>
  <c r="H348" i="1"/>
  <c r="F348" i="1"/>
  <c r="F352" i="1" s="1"/>
  <c r="G352" i="1" s="1"/>
  <c r="E348" i="1"/>
  <c r="D341" i="1"/>
  <c r="H296" i="1"/>
  <c r="F296" i="1"/>
  <c r="E296" i="1"/>
  <c r="H295" i="1"/>
  <c r="F295" i="1"/>
  <c r="E295" i="1"/>
  <c r="H294" i="1"/>
  <c r="F294" i="1"/>
  <c r="E294" i="1"/>
  <c r="E297" i="1" s="1"/>
  <c r="H251" i="1"/>
  <c r="F251" i="1"/>
  <c r="E251" i="1"/>
  <c r="H250" i="1"/>
  <c r="F250" i="1"/>
  <c r="E250" i="1"/>
  <c r="H249" i="1"/>
  <c r="F249" i="1"/>
  <c r="F252" i="1" s="1"/>
  <c r="G252" i="1" s="1"/>
  <c r="E249" i="1"/>
  <c r="D207" i="1"/>
  <c r="G206" i="1"/>
  <c r="H205" i="1"/>
  <c r="F205" i="1"/>
  <c r="G205" i="1" s="1"/>
  <c r="E205" i="1"/>
  <c r="H204" i="1"/>
  <c r="H207" i="1" s="1"/>
  <c r="F204" i="1"/>
  <c r="G204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F179" i="1"/>
  <c r="E179" i="1"/>
  <c r="H177" i="1"/>
  <c r="G177" i="1"/>
  <c r="F177" i="1"/>
  <c r="E177" i="1"/>
  <c r="H176" i="1"/>
  <c r="F176" i="1"/>
  <c r="E176" i="1"/>
  <c r="H175" i="1"/>
  <c r="F175" i="1"/>
  <c r="G175" i="1" s="1"/>
  <c r="E175" i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G139" i="1" s="1"/>
  <c r="F141" i="1"/>
  <c r="I140" i="1"/>
  <c r="G140" i="1"/>
  <c r="H140" i="1" s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H135" i="1"/>
  <c r="G134" i="1"/>
  <c r="F135" i="1"/>
  <c r="E134" i="1"/>
  <c r="E133" i="1" s="1"/>
  <c r="I132" i="1"/>
  <c r="H132" i="1"/>
  <c r="F132" i="1"/>
  <c r="H131" i="1"/>
  <c r="I130" i="1"/>
  <c r="I128" i="1" s="1"/>
  <c r="G130" i="1"/>
  <c r="H130" i="1" s="1"/>
  <c r="F130" i="1"/>
  <c r="I129" i="1"/>
  <c r="G129" i="1"/>
  <c r="F129" i="1"/>
  <c r="E128" i="1"/>
  <c r="C126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F97" i="1"/>
  <c r="E96" i="1"/>
  <c r="E95" i="1" s="1"/>
  <c r="D96" i="1"/>
  <c r="D95" i="1" s="1"/>
  <c r="D107" i="1" s="1"/>
  <c r="I94" i="1"/>
  <c r="G94" i="1"/>
  <c r="H94" i="1" s="1"/>
  <c r="F94" i="1"/>
  <c r="F92" i="1" s="1"/>
  <c r="I93" i="1"/>
  <c r="G93" i="1"/>
  <c r="H93" i="1" s="1"/>
  <c r="F93" i="1"/>
  <c r="E92" i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F34" i="1" s="1"/>
  <c r="I35" i="1"/>
  <c r="G35" i="1"/>
  <c r="H35" i="1" s="1"/>
  <c r="F35" i="1"/>
  <c r="I33" i="1"/>
  <c r="G33" i="1"/>
  <c r="H33" i="1" s="1"/>
  <c r="F33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5" i="1"/>
  <c r="G25" i="1"/>
  <c r="H25" i="1" s="1"/>
  <c r="F25" i="1"/>
  <c r="I24" i="1"/>
  <c r="G24" i="1"/>
  <c r="H24" i="1" s="1"/>
  <c r="F24" i="1"/>
  <c r="H16" i="1"/>
  <c r="F16" i="1"/>
  <c r="D16" i="1"/>
  <c r="G32" i="1" l="1"/>
  <c r="H32" i="1" s="1"/>
  <c r="F207" i="1"/>
  <c r="G207" i="1" s="1"/>
  <c r="I134" i="1"/>
  <c r="E252" i="1"/>
  <c r="I384" i="1"/>
  <c r="G128" i="1"/>
  <c r="F178" i="1"/>
  <c r="G178" i="1" s="1"/>
  <c r="H411" i="1"/>
  <c r="H23" i="1"/>
  <c r="I34" i="1"/>
  <c r="H352" i="1"/>
  <c r="G378" i="1"/>
  <c r="F134" i="1"/>
  <c r="F133" i="1" s="1"/>
  <c r="H252" i="1"/>
  <c r="H378" i="1"/>
  <c r="F417" i="1"/>
  <c r="I23" i="1"/>
  <c r="E150" i="1"/>
  <c r="G133" i="1"/>
  <c r="I139" i="1"/>
  <c r="I133" i="1" s="1"/>
  <c r="I150" i="1" s="1"/>
  <c r="H178" i="1"/>
  <c r="H184" i="1" s="1"/>
  <c r="F297" i="1"/>
  <c r="G297" i="1" s="1"/>
  <c r="H417" i="1"/>
  <c r="G27" i="1"/>
  <c r="G92" i="1"/>
  <c r="I96" i="1"/>
  <c r="I95" i="1" s="1"/>
  <c r="E178" i="1"/>
  <c r="E184" i="1" s="1"/>
  <c r="H297" i="1"/>
  <c r="G23" i="1"/>
  <c r="F27" i="1"/>
  <c r="F26" i="1" s="1"/>
  <c r="F128" i="1"/>
  <c r="F150" i="1" s="1"/>
  <c r="E352" i="1"/>
  <c r="H414" i="1"/>
  <c r="H421" i="1" s="1"/>
  <c r="F96" i="1"/>
  <c r="F95" i="1" s="1"/>
  <c r="F107" i="1" s="1"/>
  <c r="G150" i="1"/>
  <c r="F23" i="1"/>
  <c r="I92" i="1"/>
  <c r="G96" i="1"/>
  <c r="G95" i="1" s="1"/>
  <c r="G348" i="1"/>
  <c r="I378" i="1"/>
  <c r="I389" i="1" s="1"/>
  <c r="F411" i="1"/>
  <c r="H134" i="1"/>
  <c r="I27" i="1"/>
  <c r="F44" i="1"/>
  <c r="H389" i="1"/>
  <c r="H92" i="1"/>
  <c r="E107" i="1"/>
  <c r="H27" i="1"/>
  <c r="G389" i="1"/>
  <c r="G107" i="1"/>
  <c r="E421" i="1"/>
  <c r="H129" i="1"/>
  <c r="H128" i="1" s="1"/>
  <c r="H141" i="1"/>
  <c r="H139" i="1" s="1"/>
  <c r="F184" i="1"/>
  <c r="G184" i="1" s="1"/>
  <c r="G34" i="1"/>
  <c r="H97" i="1"/>
  <c r="H96" i="1" s="1"/>
  <c r="H95" i="1" s="1"/>
  <c r="I26" i="1" l="1"/>
  <c r="I44" i="1" s="1"/>
  <c r="F421" i="1"/>
  <c r="I107" i="1"/>
  <c r="H133" i="1"/>
  <c r="H150" i="1" s="1"/>
  <c r="H107" i="1"/>
  <c r="H34" i="1"/>
  <c r="H26" i="1" s="1"/>
  <c r="H44" i="1" s="1"/>
  <c r="G26" i="1"/>
  <c r="G44" i="1" s="1"/>
</calcChain>
</file>

<file path=xl/sharedStrings.xml><?xml version="1.0" encoding="utf-8"?>
<sst xmlns="http://schemas.openxmlformats.org/spreadsheetml/2006/main" count="356" uniqueCount="149">
  <si>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</si>
  <si>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</si>
  <si>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</si>
  <si>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</si>
  <si>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</si>
  <si>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</si>
  <si>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</si>
  <si>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</si>
  <si>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</si>
  <si>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</si>
  <si>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</si>
  <si>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</si>
  <si>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</si>
  <si>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</si>
  <si>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</si>
  <si>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</si>
  <si>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</si>
  <si>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</si>
  <si>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</si>
  <si>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</si>
  <si>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</si>
  <si>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</si>
  <si>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</si>
  <si>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</si>
  <si>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</si>
  <si>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</si>
  <si>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</si>
  <si>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</si>
  <si>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</si>
  <si>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</si>
  <si>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</si>
  <si>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</si>
  <si>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</si>
  <si>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</si>
  <si>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</si>
  <si>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</si>
  <si>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</si>
  <si>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</si>
  <si>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</si>
  <si>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</si>
  <si>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</si>
  <si>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</si>
  <si>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</si>
  <si>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</si>
  <si>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</si>
  <si>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</si>
  <si>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</si>
  <si>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</si>
  <si>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</si>
  <si>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</si>
  <si>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</si>
  <si>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</si>
  <si>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</si>
  <si>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</si>
  <si>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</si>
  <si>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</si>
  <si>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</si>
  <si>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</si>
  <si>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</si>
  <si>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</si>
  <si>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</si>
  <si>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</si>
  <si>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</si>
  <si>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</si>
  <si>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</si>
  <si>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</si>
  <si>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</si>
  <si>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</si>
  <si>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</si>
  <si>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</si>
  <si>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</si>
  <si>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</si>
  <si>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</si>
  <si>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</si>
  <si>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</si>
  <si>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</si>
  <si>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</si>
  <si>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</si>
  <si>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</si>
  <si>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</si>
  <si>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</si>
  <si>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</si>
  <si>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</si>
  <si>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</si>
  <si>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</si>
  <si>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</si>
  <si>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</si>
  <si>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</si>
  <si>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</si>
  <si>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</si>
  <si>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</si>
  <si>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</si>
  <si>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</si>
  <si>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</si>
  <si>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</si>
  <si>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</si>
  <si>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</si>
  <si>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</si>
  <si>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</si>
  <si>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</si>
  <si>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</si>
  <si>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</si>
  <si>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</si>
  <si>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</si>
  <si>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</si>
  <si>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</si>
  <si>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</si>
  <si>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</si>
  <si>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</si>
  <si>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</si>
  <si>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</si>
  <si>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</si>
  <si>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</si>
  <si>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</si>
  <si>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</si>
  <si>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</si>
  <si>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</si>
  <si>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</si>
  <si>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</si>
  <si>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</si>
  <si>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</si>
  <si>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</si>
  <si>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</si>
  <si>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</si>
  <si>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</si>
  <si>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</si>
  <si>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</si>
  <si>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</si>
  <si>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</si>
  <si>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</si>
  <si>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</si>
  <si>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</si>
  <si>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</si>
  <si>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</si>
  <si>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</si>
  <si>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</si>
  <si>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</si>
  <si>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</si>
  <si>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</si>
  <si>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</si>
  <si>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UKE 26</t>
  </si>
  <si>
    <t>FANGST T.O.M UKE 26</t>
  </si>
  <si>
    <t>RESTKVOTER UKE 26</t>
  </si>
  <si>
    <t>FANGST T.O.M UKE 26 2022</t>
  </si>
  <si>
    <r>
      <t>3</t>
    </r>
    <r>
      <rPr>
        <sz val="9"/>
        <color indexed="8"/>
        <rFont val="Calibri"/>
        <family val="2"/>
      </rPr>
      <t xml:space="preserve"> Det er fisket 1 834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</si>
  <si>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543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</si>
  <si>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51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</si>
  <si>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387 tonn, men det legges til grunn at hele avsetningen tas</t>
    </r>
  </si>
  <si>
    <t>Grunnet endringer i reguleringen, er fangstene ikke avregnet periodekvoter. Fangsttallene gjelder for hele 2023.Statistikk i henhold til ny regulering kommer på et senere tidspunkt.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</si>
</sst>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40" fillId="0" borderId="0" xfId="0" applyNumberFormat="1" applyFont="1" applyAlignment="1">
      <alignment vertical="center"/>
    </xf>
    <xf numFmtId="0" fontId="1" fillId="0" borderId="33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608"/>
  <sheetViews>
    <sheetView showGridLines="0" tabSelected="1" showRuler="0" view="pageLayout" zoomScale="85" zoomScaleNormal="85" zoomScaleSheetLayoutView="100" zoomScalePageLayoutView="85" workbookViewId="0">
      <selection activeCell="H10" sqref="H10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9" t="s">
        <v>135</v>
      </c>
      <c r="C2" s="300"/>
      <c r="D2" s="300"/>
      <c r="E2" s="300"/>
      <c r="F2" s="300"/>
      <c r="G2" s="300"/>
      <c r="H2" s="300"/>
      <c r="I2" s="300"/>
      <c r="J2" s="301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2"/>
      <c r="C9" s="303"/>
      <c r="D9" s="303"/>
      <c r="E9" s="303"/>
      <c r="F9" s="303"/>
      <c r="G9" s="303"/>
      <c r="H9" s="303"/>
      <c r="I9" s="303"/>
      <c r="J9" s="304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136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476.33249999999998</v>
      </c>
      <c r="G23" s="28">
        <f t="shared" si="0"/>
        <v>48690.241649999996</v>
      </c>
      <c r="H23" s="11">
        <f t="shared" si="0"/>
        <v>38136.758350000004</v>
      </c>
      <c r="I23" s="11">
        <f t="shared" si="0"/>
        <v>58025.005020000004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389.676</f>
        <v>389.67599999999999</v>
      </c>
      <c r="G24" s="23">
        <f>48351.68541</f>
        <v>48351.685409999998</v>
      </c>
      <c r="H24" s="23">
        <f>E24-G24</f>
        <v>37693.314590000002</v>
      </c>
      <c r="I24" s="23">
        <f>57721.70605</f>
        <v>57721.706050000001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86.6565</f>
        <v>86.656499999999994</v>
      </c>
      <c r="G25" s="23">
        <f>338.55624</f>
        <v>338.55624</v>
      </c>
      <c r="H25" s="23">
        <f>E25-G25</f>
        <v>443.44376</v>
      </c>
      <c r="I25" s="23">
        <f>303.29897</f>
        <v>303.29897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1034.8187400000002</v>
      </c>
      <c r="G26" s="11">
        <f t="shared" si="1"/>
        <v>165053.58802999998</v>
      </c>
      <c r="H26" s="11">
        <f t="shared" si="1"/>
        <v>32516.411970000001</v>
      </c>
      <c r="I26" s="11">
        <f t="shared" si="1"/>
        <v>201085.0961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804.90065000000004</v>
      </c>
      <c r="G27" s="134">
        <f t="shared" ref="G27:I27" si="2">G28+G29+G30+G31+G32</f>
        <v>130902.17741999999</v>
      </c>
      <c r="H27" s="134">
        <f t="shared" si="2"/>
        <v>21748.82258</v>
      </c>
      <c r="I27" s="134">
        <f t="shared" si="2"/>
        <v>164461.39163999999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150.13425</f>
        <v>150.13425000000001</v>
      </c>
      <c r="G28" s="129">
        <f>36034.52182 - F57</f>
        <v>36034.521820000002</v>
      </c>
      <c r="H28" s="129">
        <f t="shared" ref="H28:H40" si="3">E28-G28</f>
        <v>3514.4781799999982</v>
      </c>
      <c r="I28" s="129">
        <f>42116.12796 - H57</f>
        <v>42116.127959999998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148.25047</f>
        <v>148.25047000000001</v>
      </c>
      <c r="G29" s="129">
        <f>36927.04893 - F58</f>
        <v>36927.048929999997</v>
      </c>
      <c r="H29" s="129">
        <f t="shared" si="3"/>
        <v>3836.9510700000028</v>
      </c>
      <c r="I29" s="129">
        <f>44607.96593 - H58</f>
        <v>44607.965929999998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318.88909</f>
        <v>318.88909000000001</v>
      </c>
      <c r="G30" s="129">
        <f>34505.72883 - F59</f>
        <v>34505.72883</v>
      </c>
      <c r="H30" s="129">
        <f t="shared" si="3"/>
        <v>2761.27117</v>
      </c>
      <c r="I30" s="129">
        <f>45691.0093 - H59</f>
        <v>45691.009299999998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187.62684</f>
        <v>187.62683999999999</v>
      </c>
      <c r="G31" s="129">
        <f>23434.87784 - F60</f>
        <v>23434.877840000001</v>
      </c>
      <c r="H31" s="129">
        <f t="shared" si="3"/>
        <v>1972.122159999999</v>
      </c>
      <c r="I31" s="129">
        <f>32669.28845 - H60</f>
        <v>32046.28845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29.50324</f>
        <v>29.503240000000002</v>
      </c>
      <c r="G33" s="134">
        <f>14209.75049</f>
        <v>14209.75049</v>
      </c>
      <c r="H33" s="134">
        <f t="shared" si="3"/>
        <v>9376.2495099999996</v>
      </c>
      <c r="I33" s="134">
        <f>16658.46696</f>
        <v>16658.466960000002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200.41485</v>
      </c>
      <c r="G34" s="134">
        <f>G35+G36</f>
        <v>19941.66012</v>
      </c>
      <c r="H34" s="134">
        <f t="shared" si="3"/>
        <v>1391.3398799999995</v>
      </c>
      <c r="I34" s="134">
        <f>I35+I36</f>
        <v>19965.237499999999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200.41485</f>
        <v>200.41485</v>
      </c>
      <c r="G35" s="134">
        <f>24082.66012 - F61 - F62</f>
        <v>19941.66012</v>
      </c>
      <c r="H35" s="129">
        <f t="shared" si="3"/>
        <v>191.33987999999954</v>
      </c>
      <c r="I35" s="129">
        <f>20851.2375 - H61 - H62</f>
        <v>19342.237499999999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623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346.3197</f>
        <v>346.31970000000001</v>
      </c>
      <c r="H37" s="141">
        <f t="shared" si="3"/>
        <v>2653.6803</v>
      </c>
      <c r="I37" s="141">
        <f>333.80295</f>
        <v>333.80295000000001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0</f>
        <v>0</v>
      </c>
      <c r="G38" s="100">
        <f>486.26274</f>
        <v>486.26274000000001</v>
      </c>
      <c r="H38" s="100">
        <f t="shared" si="3"/>
        <v>364.73725999999999</v>
      </c>
      <c r="I38" s="100">
        <f>454.16041</f>
        <v>454.16041000000001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68</v>
      </c>
      <c r="G39" s="100">
        <f>F61</f>
        <v>4141</v>
      </c>
      <c r="H39" s="100">
        <f t="shared" si="3"/>
        <v>-1093</v>
      </c>
      <c r="I39" s="100">
        <f>H61</f>
        <v>1509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22.60468</f>
        <v>22.604679999999998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1601.75892</v>
      </c>
      <c r="G44" s="78">
        <f t="shared" si="4"/>
        <v>225796.97311999998</v>
      </c>
      <c r="H44" s="78">
        <f t="shared" si="4"/>
        <v>72899.026879999976</v>
      </c>
      <c r="I44" s="78">
        <f t="shared" si="4"/>
        <v>268528.00291000004</v>
      </c>
      <c r="J44" s="242"/>
    </row>
    <row r="45" spans="1:13" ht="14.1" customHeight="1" x14ac:dyDescent="0.2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145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2" t="s">
        <v>44</v>
      </c>
      <c r="D52" s="292"/>
      <c r="E52" s="292"/>
      <c r="F52" s="292"/>
      <c r="G52" s="292"/>
      <c r="H52" s="292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3">
        <v>9840</v>
      </c>
      <c r="E55" s="11">
        <f>E59+E58+E57+E56</f>
        <v>0</v>
      </c>
      <c r="F55" s="11">
        <f>F59+F58+F57+F56</f>
        <v>0</v>
      </c>
      <c r="G55" s="293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4"/>
      <c r="E56" s="129"/>
      <c r="F56" s="129"/>
      <c r="G56" s="294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4"/>
      <c r="E57" s="129"/>
      <c r="F57" s="129"/>
      <c r="G57" s="294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4"/>
      <c r="E58" s="129"/>
      <c r="F58" s="129"/>
      <c r="G58" s="294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5"/>
      <c r="E59" s="194"/>
      <c r="F59" s="194"/>
      <c r="G59" s="295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>
        <v>623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68</v>
      </c>
      <c r="F61" s="141">
        <v>4141</v>
      </c>
      <c r="G61" s="141">
        <f>D61-F61</f>
        <v>-1141</v>
      </c>
      <c r="H61" s="141">
        <v>1509</v>
      </c>
      <c r="I61" s="256"/>
      <c r="J61" s="242"/>
    </row>
    <row r="62" spans="1:10" ht="14.1" customHeight="1" x14ac:dyDescent="0.2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298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137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21.9072</v>
      </c>
      <c r="G92" s="11">
        <f t="shared" si="5"/>
        <v>38700.696229999994</v>
      </c>
      <c r="H92" s="11">
        <f t="shared" si="5"/>
        <v>-3901.6962299999977</v>
      </c>
      <c r="I92" s="11">
        <f t="shared" si="5"/>
        <v>34940.239589999997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18.0362</f>
        <v>18.036200000000001</v>
      </c>
      <c r="G93" s="23">
        <f>38202.00629</f>
        <v>38202.006289999998</v>
      </c>
      <c r="H93" s="23">
        <f>E93-G93</f>
        <v>-4215.0062899999975</v>
      </c>
      <c r="I93" s="23">
        <f>34290.71092</f>
        <v>34290.710919999998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3.871</f>
        <v>3.871</v>
      </c>
      <c r="G94" s="52">
        <f>498.68994</f>
        <v>498.68993999999998</v>
      </c>
      <c r="H94" s="52">
        <f>E94-G94</f>
        <v>313.31006000000002</v>
      </c>
      <c r="I94" s="52">
        <f>649.52867</f>
        <v>649.52867000000003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346.09055999999998</v>
      </c>
      <c r="G95" s="11">
        <f t="shared" si="6"/>
        <v>21824.60211</v>
      </c>
      <c r="H95" s="11">
        <f t="shared" si="6"/>
        <v>37675.39789</v>
      </c>
      <c r="I95" s="11">
        <f t="shared" si="6"/>
        <v>26686.814029999998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304.34078</v>
      </c>
      <c r="G96" s="134">
        <f t="shared" si="7"/>
        <v>15514.128439999999</v>
      </c>
      <c r="H96" s="134">
        <f t="shared" si="7"/>
        <v>28976.871560000003</v>
      </c>
      <c r="I96" s="134">
        <f t="shared" si="7"/>
        <v>20977.898069999999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45.22002</f>
        <v>45.220019999999998</v>
      </c>
      <c r="G97" s="129">
        <f>2397.81538</f>
        <v>2397.81538</v>
      </c>
      <c r="H97" s="129">
        <f t="shared" ref="H97:H104" si="8">E97-G97</f>
        <v>9485.8846200000007</v>
      </c>
      <c r="I97" s="129">
        <f>2522.88836</f>
        <v>2522.8883599999999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126.12203</f>
        <v>126.12203</v>
      </c>
      <c r="G98" s="129">
        <f>4956.9999</f>
        <v>4956.9998999999998</v>
      </c>
      <c r="H98" s="129">
        <f t="shared" si="8"/>
        <v>7708.1001000000006</v>
      </c>
      <c r="I98" s="129">
        <f>7067.11089</f>
        <v>7067.1108899999999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66.76705</f>
        <v>66.767049999999998</v>
      </c>
      <c r="G99" s="129">
        <f>4260.99913</f>
        <v>4260.9991300000002</v>
      </c>
      <c r="H99" s="129">
        <f t="shared" si="8"/>
        <v>7704.6008700000002</v>
      </c>
      <c r="I99" s="129">
        <f>5900.00796</f>
        <v>5900.0079599999999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66.23168</f>
        <v>66.231679999999997</v>
      </c>
      <c r="G100" s="129">
        <f>3898.31403</f>
        <v>3898.31403</v>
      </c>
      <c r="H100" s="129">
        <f t="shared" si="8"/>
        <v>4078.2859700000004</v>
      </c>
      <c r="I100" s="129">
        <f>5487.89086</f>
        <v>5487.8908600000004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4.06487</f>
        <v>4.06487</v>
      </c>
      <c r="G101" s="134">
        <f>5092.57359</f>
        <v>5092.57359</v>
      </c>
      <c r="H101" s="134">
        <f t="shared" si="8"/>
        <v>5298.42641</v>
      </c>
      <c r="I101" s="134">
        <f>4711.63068</f>
        <v>4711.6306800000002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37.68491</f>
        <v>37.684910000000002</v>
      </c>
      <c r="G102" s="77">
        <f>1217.90008</f>
        <v>1217.9000799999999</v>
      </c>
      <c r="H102" s="77">
        <f t="shared" si="8"/>
        <v>3400.0999200000001</v>
      </c>
      <c r="I102" s="77">
        <f>997.28528</f>
        <v>997.28527999999994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3.92398</f>
        <v>3.9239799999999998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371.92173999999994</v>
      </c>
      <c r="G107" s="78">
        <f t="shared" si="9"/>
        <v>60845.314809999982</v>
      </c>
      <c r="H107" s="78">
        <f t="shared" si="9"/>
        <v>34123.685190000018</v>
      </c>
      <c r="I107" s="78">
        <f t="shared" si="9"/>
        <v>61992.783229999994</v>
      </c>
      <c r="J107" s="242"/>
    </row>
    <row r="108" spans="1:10" ht="13.5" customHeight="1" x14ac:dyDescent="0.2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146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915.43095000000005</v>
      </c>
      <c r="G128" s="11">
        <f t="shared" si="10"/>
        <v>38824.733070000002</v>
      </c>
      <c r="H128" s="11">
        <f t="shared" si="10"/>
        <v>31716.266930000002</v>
      </c>
      <c r="I128" s="11">
        <f t="shared" si="10"/>
        <v>37026.95319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915.43095</f>
        <v>915.43095000000005</v>
      </c>
      <c r="G129" s="23">
        <f>34275.06469</f>
        <v>34275.064689999999</v>
      </c>
      <c r="H129" s="23">
        <f>E129-G129</f>
        <v>21816.935310000001</v>
      </c>
      <c r="I129" s="23">
        <f>31217.44333</f>
        <v>31217.443329999998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4549.66838</f>
        <v>4549.6683800000001</v>
      </c>
      <c r="H130" s="23">
        <f>E130-G130</f>
        <v>9399.3316200000008</v>
      </c>
      <c r="I130" s="23">
        <f>5809.50986</f>
        <v>5809.5098600000001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3008.026</f>
        <v>3008.0259999999998</v>
      </c>
      <c r="G132" s="97">
        <f>25212.54509+1834.36741</f>
        <v>27046.912499999999</v>
      </c>
      <c r="H132" s="97">
        <f>E132-G132</f>
        <v>22125.087500000001</v>
      </c>
      <c r="I132" s="97">
        <f>24635.60048</f>
        <v>24635.600480000001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787.31467999999995</v>
      </c>
      <c r="G133" s="96">
        <f t="shared" ref="G133" si="11">G134+G139+G142</f>
        <v>45982.385829999999</v>
      </c>
      <c r="H133" s="96">
        <f>H134+H139+H142</f>
        <v>34957.614170000001</v>
      </c>
      <c r="I133" s="96">
        <f>I134+I139+I142</f>
        <v>44184.327149999997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612.54755</v>
      </c>
      <c r="G134" s="127">
        <f>G135+G136+G138+G137</f>
        <v>35650.175900000002</v>
      </c>
      <c r="H134" s="127">
        <f>H135+H136+H137+H138</f>
        <v>23853.824099999998</v>
      </c>
      <c r="I134" s="127">
        <f>I135+I136+I137+I138</f>
        <v>34470.72724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104.09515</f>
        <v>104.09515</v>
      </c>
      <c r="G135" s="129">
        <v>6042.1566400000002</v>
      </c>
      <c r="H135" s="129">
        <f>E135-G135</f>
        <v>11461.843359999999</v>
      </c>
      <c r="I135" s="129">
        <f>5029.20381</f>
        <v>5029.20381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83.26135</f>
        <v>83.261349999999993</v>
      </c>
      <c r="G136" s="129">
        <v>10207.90292</v>
      </c>
      <c r="H136" s="129">
        <f>E136-G136</f>
        <v>4876.0970799999996</v>
      </c>
      <c r="I136" s="129">
        <f>8177.68932</f>
        <v>8177.6893200000004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330.74905</f>
        <v>330.74905000000001</v>
      </c>
      <c r="G137" s="129">
        <v>10130.501179999999</v>
      </c>
      <c r="H137" s="129">
        <f>E137-G137</f>
        <v>4892.4988200000007</v>
      </c>
      <c r="I137" s="129">
        <f>10761.16109</f>
        <v>10761.16109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94.442</f>
        <v>94.441999999999993</v>
      </c>
      <c r="G138" s="129">
        <v>9269.6151600000012</v>
      </c>
      <c r="H138" s="129">
        <f>E138-G138</f>
        <v>2623.3848399999988</v>
      </c>
      <c r="I138" s="129">
        <f>10502.67302</f>
        <v>10502.67302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5.8067900000000003</v>
      </c>
      <c r="G139" s="134">
        <f>SUM(G140:G141)</f>
        <v>6378.7937400000001</v>
      </c>
      <c r="H139" s="134">
        <f>H140+H141</f>
        <v>3053.2062599999999</v>
      </c>
      <c r="I139" s="134">
        <f>SUM(I140:I141)</f>
        <v>5908.0299100000002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0</f>
        <v>0</v>
      </c>
      <c r="G140" s="129">
        <f>6234.77577</f>
        <v>6234.7757700000002</v>
      </c>
      <c r="H140" s="129">
        <f t="shared" ref="H140:H147" si="12">E140-G140</f>
        <v>2697.2242299999998</v>
      </c>
      <c r="I140" s="129">
        <f>5786.46497</f>
        <v>5786.46497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5.80679</f>
        <v>5.8067900000000003</v>
      </c>
      <c r="G141" s="129">
        <f>144.01797</f>
        <v>144.01796999999999</v>
      </c>
      <c r="H141" s="129">
        <f t="shared" si="12"/>
        <v>355.98203000000001</v>
      </c>
      <c r="I141" s="129">
        <f>121.56494</f>
        <v>121.56494000000001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168.96034</f>
        <v>168.96034</v>
      </c>
      <c r="G142" s="77">
        <f>3953.41619</f>
        <v>3953.4161899999999</v>
      </c>
      <c r="H142" s="77">
        <f t="shared" si="12"/>
        <v>8050.5838100000001</v>
      </c>
      <c r="I142" s="77">
        <f>3805.57</f>
        <v>3805.57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30.361</f>
        <v>30.361000000000001</v>
      </c>
      <c r="H143" s="141">
        <f t="shared" si="12"/>
        <v>106.639</v>
      </c>
      <c r="I143" s="141">
        <f>21.55052</f>
        <v>21.550519999999999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2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56.7466</f>
        <v>56.746600000000001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4767.5182299999997</v>
      </c>
      <c r="G150" s="78">
        <f>G128+G132+G133+G143+G144+G145+G146+G147+G148</f>
        <v>114146.9734</v>
      </c>
      <c r="H150" s="78">
        <f>H128+H132+H133+H143+H144+H145+H146+H147+H148</f>
        <v>89088.026599999997</v>
      </c>
      <c r="I150" s="78">
        <f>I128+I132+I133+I143+I144+I145+I146+I147+I148</f>
        <v>108175.40733999999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144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147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11.69426</f>
        <v>11.69426</v>
      </c>
      <c r="F175" s="274">
        <f>974.86825</f>
        <v>974.86824999999999</v>
      </c>
      <c r="G175" s="45">
        <f>D175-F175-F176</f>
        <v>2896.4073600000002</v>
      </c>
      <c r="H175" s="274">
        <f>669.28819</f>
        <v>669.28818999999999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93.26188</f>
        <v>93.261880000000005</v>
      </c>
      <c r="F176" s="154">
        <f>1116.72439</f>
        <v>1116.7243900000001</v>
      </c>
      <c r="G176" s="215"/>
      <c r="H176" s="154">
        <f>1140.87262</f>
        <v>1140.8726200000001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55.41002</f>
        <v>55.410020000000003</v>
      </c>
      <c r="G177" s="174">
        <f>D177-F177</f>
        <v>144.58998</v>
      </c>
      <c r="H177" s="174">
        <f>48.9886</f>
        <v>48.988599999999998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7.730599999999999</v>
      </c>
      <c r="F178" s="183">
        <f>F179+F180+F181</f>
        <v>4813.3530499999997</v>
      </c>
      <c r="G178" s="183">
        <f>D178-F178</f>
        <v>2667.6469500000003</v>
      </c>
      <c r="H178" s="183">
        <f>H179+H180+H181</f>
        <v>5061.8670999999995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2.47624</f>
        <v>2.4762400000000002</v>
      </c>
      <c r="F179" s="129">
        <f>2241.96823</f>
        <v>2241.9682299999999</v>
      </c>
      <c r="G179" s="129"/>
      <c r="H179" s="129">
        <f>2555.89804</f>
        <v>2555.89804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5.15356</f>
        <v>5.1535599999999997</v>
      </c>
      <c r="F180" s="129">
        <f>1585.17984</f>
        <v>1585.17984</v>
      </c>
      <c r="G180" s="129"/>
      <c r="H180" s="129">
        <f>1533.08387</f>
        <v>1533.0838699999999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0.1008</f>
        <v>0.1008</v>
      </c>
      <c r="F181" s="194">
        <f>986.20498</f>
        <v>986.20497999999998</v>
      </c>
      <c r="G181" s="194"/>
      <c r="H181" s="194">
        <f>972.88519</f>
        <v>972.88518999999997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112.68674</v>
      </c>
      <c r="F184" s="196">
        <f>F175+F176+F177+F178+F182+F183</f>
        <v>6960.3557099999998</v>
      </c>
      <c r="G184" s="196">
        <f>D184-F184</f>
        <v>5774.6442900000002</v>
      </c>
      <c r="H184" s="196">
        <f>H175+H176+H177+H178+H182+H183</f>
        <v>6921.0165099999995</v>
      </c>
      <c r="I184" s="165"/>
      <c r="J184" s="162"/>
    </row>
    <row r="185" spans="1:10" ht="42" customHeight="1" x14ac:dyDescent="0.2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84.70167</f>
        <v>84.701669999999993</v>
      </c>
      <c r="F204" s="124">
        <f>37006.8511</f>
        <v>37006.8511</v>
      </c>
      <c r="G204" s="124">
        <f>D204-F204</f>
        <v>6832.1489000000001</v>
      </c>
      <c r="H204" s="124">
        <f>25511.67705</f>
        <v>25511.677049999998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1.124</f>
        <v>1.1240000000000001</v>
      </c>
      <c r="F205" s="124">
        <f>17.73275</f>
        <v>17.732749999999999</v>
      </c>
      <c r="G205" s="124">
        <f>D205-F205</f>
        <v>82.267250000000004</v>
      </c>
      <c r="H205" s="124">
        <f>21.73555</f>
        <v>21.73555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85.825669999999988</v>
      </c>
      <c r="F207" s="190">
        <f>SUM(F204:F206)</f>
        <v>37024.583850000003</v>
      </c>
      <c r="G207" s="190">
        <f>D207-F207</f>
        <v>6956.4161499999973</v>
      </c>
      <c r="H207" s="190">
        <f>SUM(H204:H206)</f>
        <v>25533.4126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138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140</v>
      </c>
      <c r="F248" s="68" t="s">
        <v>141</v>
      </c>
      <c r="G248" s="68" t="s">
        <v>142</v>
      </c>
      <c r="H248" s="68" t="s">
        <v>143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0</f>
        <v>0</v>
      </c>
      <c r="F249" s="77">
        <f>198.31024</f>
        <v>198.31023999999999</v>
      </c>
      <c r="G249" s="77"/>
      <c r="H249" s="77">
        <f>127.87428</f>
        <v>127.87428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94.54543</f>
        <v>94.545429999999996</v>
      </c>
      <c r="F250" s="77">
        <f>4392.48743</f>
        <v>4392.4874300000001</v>
      </c>
      <c r="G250" s="77"/>
      <c r="H250" s="77">
        <f>3786.67173</f>
        <v>3786.67173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84.92096</f>
        <v>84.920959999999994</v>
      </c>
      <c r="F251" s="124">
        <f>1953.05694</f>
        <v>1953.0569399999999</v>
      </c>
      <c r="G251" s="168"/>
      <c r="H251" s="124">
        <f>1144.48426</f>
        <v>1144.4842599999999</v>
      </c>
      <c r="I251" s="246"/>
      <c r="J251" s="122"/>
    </row>
    <row r="252" spans="1:10" ht="16.5" customHeight="1" x14ac:dyDescent="0.25">
      <c r="A252" s="1"/>
      <c r="B252" s="252"/>
      <c r="C252" s="179" t="s">
        <v>88</v>
      </c>
      <c r="D252" s="190">
        <v>10454</v>
      </c>
      <c r="E252" s="190">
        <f>SUM(E249:E251)</f>
        <v>179.46638999999999</v>
      </c>
      <c r="F252" s="190">
        <f>SUM(F249:F251)</f>
        <v>6543.8546100000003</v>
      </c>
      <c r="G252" s="190">
        <f>D252-F252</f>
        <v>3910.1453899999997</v>
      </c>
      <c r="H252" s="190">
        <f>SUM(H249:H251)</f>
        <v>5059.0302700000002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139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140</v>
      </c>
      <c r="F293" s="68" t="s">
        <v>141</v>
      </c>
      <c r="G293" s="68" t="s">
        <v>142</v>
      </c>
      <c r="H293" s="68" t="s">
        <v>143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0</f>
        <v>0</v>
      </c>
      <c r="F294" s="77">
        <f>212.5564</f>
        <v>212.5564</v>
      </c>
      <c r="G294" s="77"/>
      <c r="H294" s="77">
        <f>154.0154</f>
        <v>154.0154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102.3607</f>
        <v>102.36069999999999</v>
      </c>
      <c r="F295" s="77">
        <f>2202.61958</f>
        <v>2202.61958</v>
      </c>
      <c r="G295" s="77"/>
      <c r="H295" s="77">
        <f>1591.84746</f>
        <v>1591.84746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268.10536</f>
        <v>268.10536000000002</v>
      </c>
      <c r="F296" s="124">
        <f>2448.0745</f>
        <v>2448.0745000000002</v>
      </c>
      <c r="G296" s="168"/>
      <c r="H296" s="124">
        <f>1469.76011</f>
        <v>1469.7601099999999</v>
      </c>
      <c r="I296" s="246"/>
      <c r="J296" s="122"/>
    </row>
    <row r="297" spans="1:10" ht="16.5" customHeight="1" x14ac:dyDescent="0.25">
      <c r="A297" s="1"/>
      <c r="B297" s="252"/>
      <c r="C297" s="179" t="s">
        <v>88</v>
      </c>
      <c r="D297" s="190">
        <v>8076</v>
      </c>
      <c r="E297" s="190">
        <f>SUM(E294:E296)</f>
        <v>370.46606000000003</v>
      </c>
      <c r="F297" s="190">
        <f>SUM(F294:F296)</f>
        <v>4863.2504800000006</v>
      </c>
      <c r="G297" s="190">
        <f>D297-F297</f>
        <v>3212.7495199999994</v>
      </c>
      <c r="H297" s="190">
        <f>SUM(H294:H296)</f>
        <v>3215.6229699999999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140</v>
      </c>
      <c r="F347" s="68" t="s">
        <v>141</v>
      </c>
      <c r="G347" s="68" t="s">
        <v>142</v>
      </c>
      <c r="H347" s="68" t="s">
        <v>143</v>
      </c>
      <c r="I347" s="1"/>
      <c r="J347" s="118"/>
    </row>
    <row r="348" spans="1:10" ht="14.1" customHeight="1" x14ac:dyDescent="0.25">
      <c r="A348" s="70"/>
      <c r="B348" s="81"/>
      <c r="C348" s="90" t="s">
        <v>96</v>
      </c>
      <c r="D348" s="124">
        <v>800</v>
      </c>
      <c r="E348" s="124">
        <f>18.41018</f>
        <v>18.41018</v>
      </c>
      <c r="F348" s="124">
        <f>283.45323</f>
        <v>283.45323000000002</v>
      </c>
      <c r="G348" s="124">
        <f>D348-F348</f>
        <v>516.54676999999992</v>
      </c>
      <c r="H348" s="124">
        <f>175.48181</f>
        <v>175.48181</v>
      </c>
      <c r="I348" s="70"/>
      <c r="J348" s="242"/>
    </row>
    <row r="349" spans="1:10" ht="14.1" customHeight="1" x14ac:dyDescent="0.25">
      <c r="A349" s="1"/>
      <c r="B349" s="252"/>
      <c r="C349" s="90" t="s">
        <v>97</v>
      </c>
      <c r="D349" s="244">
        <v>2494</v>
      </c>
      <c r="E349" s="124">
        <f>136.34157</f>
        <v>136.34156999999999</v>
      </c>
      <c r="F349" s="124">
        <f>921.79493</f>
        <v>921.79493000000002</v>
      </c>
      <c r="G349" s="124">
        <f>D349-F349</f>
        <v>1572.20507</v>
      </c>
      <c r="H349" s="124">
        <f>653.57641</f>
        <v>653.57641000000001</v>
      </c>
      <c r="I349" s="181"/>
      <c r="J349" s="118"/>
    </row>
    <row r="350" spans="1:10" ht="16.5" customHeight="1" x14ac:dyDescent="0.2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0.63874</f>
        <v>0.63873999999999997</v>
      </c>
      <c r="G350" s="124">
        <f>D350-F350</f>
        <v>4.3612599999999997</v>
      </c>
      <c r="H350" s="168">
        <f>0.9169</f>
        <v>0.91690000000000005</v>
      </c>
      <c r="I350" s="70"/>
      <c r="J350" s="247"/>
    </row>
    <row r="351" spans="1:10" ht="18.75" customHeight="1" x14ac:dyDescent="0.25">
      <c r="A351" s="70"/>
      <c r="B351" s="248"/>
      <c r="C351" s="146" t="s">
        <v>98</v>
      </c>
      <c r="D351" s="220"/>
      <c r="E351" s="168">
        <f>0</f>
        <v>0</v>
      </c>
      <c r="F351" s="168">
        <f>1.68235</f>
        <v>1.68235</v>
      </c>
      <c r="G351" s="124"/>
      <c r="H351" s="168">
        <f>3.12636</f>
        <v>3.12636</v>
      </c>
      <c r="I351" s="282"/>
      <c r="J351" s="122"/>
    </row>
    <row r="352" spans="1:10" ht="14.1" customHeight="1" x14ac:dyDescent="0.25">
      <c r="A352" s="1"/>
      <c r="B352" s="252"/>
      <c r="C352" s="179" t="s">
        <v>88</v>
      </c>
      <c r="D352" s="6">
        <f>D337</f>
        <v>3299</v>
      </c>
      <c r="E352" s="190">
        <f>SUM(E348:E351)</f>
        <v>154.75174999999999</v>
      </c>
      <c r="F352" s="190">
        <f>SUM(F348:F351)</f>
        <v>1207.5692500000002</v>
      </c>
      <c r="G352" s="190">
        <f>D352-F352</f>
        <v>2091.4307499999995</v>
      </c>
      <c r="H352" s="190">
        <f>H348+H349+H350+H351</f>
        <v>833.10148000000004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119</v>
      </c>
    </row>
    <row r="356" spans="1:10" ht="14.1" customHeight="1" x14ac:dyDescent="0.25">
      <c r="A356" s="1" t="s">
        <v>119</v>
      </c>
    </row>
    <row r="357" spans="1:10" ht="14.1" customHeight="1" x14ac:dyDescent="0.25">
      <c r="A357" s="1" t="s">
        <v>119</v>
      </c>
    </row>
    <row r="358" spans="1:10" ht="14.1" customHeight="1" x14ac:dyDescent="0.25">
      <c r="A358" s="1"/>
      <c r="C358" s="152" t="s">
        <v>119</v>
      </c>
    </row>
    <row r="359" spans="1:10" x14ac:dyDescent="0.25">
      <c r="A359" s="1"/>
      <c r="C359" s="152" t="s">
        <v>119</v>
      </c>
    </row>
    <row r="360" spans="1:10" ht="14.1" customHeight="1" x14ac:dyDescent="0.25">
      <c r="A360" s="1"/>
      <c r="C360" s="152" t="s">
        <v>119</v>
      </c>
    </row>
    <row r="361" spans="1:10" ht="14.1" customHeight="1" x14ac:dyDescent="0.25">
      <c r="A361" s="1"/>
      <c r="C361" s="152" t="s">
        <v>119</v>
      </c>
    </row>
    <row r="362" spans="1:10" ht="30" customHeight="1" x14ac:dyDescent="0.3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2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106</v>
      </c>
      <c r="F377" s="221" t="s">
        <v>140</v>
      </c>
      <c r="G377" s="221" t="s">
        <v>141</v>
      </c>
      <c r="H377" s="221" t="s">
        <v>142</v>
      </c>
      <c r="I377" s="221" t="s">
        <v>143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4">D382+D381+D380+D379</f>
        <v>13765</v>
      </c>
      <c r="E378" s="249">
        <f t="shared" si="14"/>
        <v>16102</v>
      </c>
      <c r="F378" s="251">
        <f t="shared" si="14"/>
        <v>123.17984000000001</v>
      </c>
      <c r="G378" s="251">
        <f t="shared" si="14"/>
        <v>5463.8588099999997</v>
      </c>
      <c r="H378" s="251">
        <f>H382+H381+H380+H379</f>
        <v>10638.141189999998</v>
      </c>
      <c r="I378" s="251">
        <f t="shared" si="14"/>
        <v>3149.0904499999997</v>
      </c>
      <c r="J378" s="132"/>
    </row>
    <row r="379" spans="1:10" ht="14.1" customHeight="1" x14ac:dyDescent="0.25">
      <c r="A379" s="216"/>
      <c r="B379" s="74"/>
      <c r="C379" s="253" t="s">
        <v>107</v>
      </c>
      <c r="D379" s="254">
        <v>6472</v>
      </c>
      <c r="E379" s="254">
        <v>8177</v>
      </c>
      <c r="F379" s="255">
        <f>0</f>
        <v>0</v>
      </c>
      <c r="G379" s="255">
        <f>2054.63477</f>
        <v>2054.6347700000001</v>
      </c>
      <c r="H379" s="255">
        <f t="shared" ref="H379:H383" si="15">E379-G379</f>
        <v>6122.3652299999994</v>
      </c>
      <c r="I379" s="255">
        <f>1355.29893</f>
        <v>1355.2989299999999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0</f>
        <v>0</v>
      </c>
      <c r="G380" s="255">
        <f>806.0337</f>
        <v>806.03369999999995</v>
      </c>
      <c r="H380" s="255">
        <f t="shared" si="15"/>
        <v>1321.9663</v>
      </c>
      <c r="I380" s="255">
        <f>490.4118</f>
        <v>490.41180000000003</v>
      </c>
      <c r="J380" s="132"/>
    </row>
    <row r="381" spans="1:10" ht="14.1" customHeight="1" x14ac:dyDescent="0.25">
      <c r="A381" s="216"/>
      <c r="B381" s="74"/>
      <c r="C381" s="258" t="s">
        <v>103</v>
      </c>
      <c r="D381" s="254">
        <v>1313</v>
      </c>
      <c r="E381" s="254">
        <v>1357</v>
      </c>
      <c r="F381" s="255">
        <f>40.07184</f>
        <v>40.071840000000002</v>
      </c>
      <c r="G381" s="255">
        <f>1358.88304</f>
        <v>1358.8830399999999</v>
      </c>
      <c r="H381" s="255">
        <f t="shared" si="15"/>
        <v>-1.8830399999999372</v>
      </c>
      <c r="I381" s="255">
        <f>955.66332</f>
        <v>955.66332</v>
      </c>
      <c r="J381" s="132"/>
    </row>
    <row r="382" spans="1:10" ht="14.1" customHeight="1" x14ac:dyDescent="0.25">
      <c r="A382" s="216"/>
      <c r="B382" s="74"/>
      <c r="C382" s="260" t="s">
        <v>108</v>
      </c>
      <c r="D382" s="261">
        <v>4296</v>
      </c>
      <c r="E382" s="261">
        <v>4440</v>
      </c>
      <c r="F382" s="255">
        <f>83.108</f>
        <v>83.108000000000004</v>
      </c>
      <c r="G382" s="255">
        <f>1244.3073</f>
        <v>1244.3072999999999</v>
      </c>
      <c r="H382" s="255">
        <f t="shared" si="15"/>
        <v>3195.6927000000001</v>
      </c>
      <c r="I382" s="255">
        <f>347.7164</f>
        <v>347.71640000000002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147.60858</f>
        <v>147.60857999999999</v>
      </c>
      <c r="G383" s="266">
        <f>4918.28906</f>
        <v>4918.2890600000001</v>
      </c>
      <c r="H383" s="266">
        <f t="shared" si="15"/>
        <v>581.71093999999994</v>
      </c>
      <c r="I383" s="266">
        <f>4536.36268</f>
        <v>4536.3626800000002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71.071119999999993</v>
      </c>
      <c r="G384" s="267">
        <f>G386+G385</f>
        <v>2107.9132200000004</v>
      </c>
      <c r="H384" s="267">
        <f>E384-G384</f>
        <v>5892.0867799999996</v>
      </c>
      <c r="I384" s="267">
        <f>I386+I385</f>
        <v>1831.7174199999999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0</f>
        <v>0</v>
      </c>
      <c r="G385" s="255">
        <f>752.27754</f>
        <v>752.27754000000004</v>
      </c>
      <c r="H385" s="255"/>
      <c r="I385" s="255">
        <f>924.42394</f>
        <v>924.42394000000002</v>
      </c>
      <c r="J385" s="132"/>
    </row>
    <row r="386" spans="1:10" ht="14.1" customHeight="1" x14ac:dyDescent="0.25">
      <c r="A386" s="216"/>
      <c r="B386" s="74"/>
      <c r="C386" s="271" t="s">
        <v>109</v>
      </c>
      <c r="D386" s="272"/>
      <c r="E386" s="275"/>
      <c r="F386" s="276">
        <f>71.07112</f>
        <v>71.071119999999993</v>
      </c>
      <c r="G386" s="276">
        <f>1355.63568</f>
        <v>1355.6356800000001</v>
      </c>
      <c r="H386" s="276"/>
      <c r="I386" s="276">
        <f>907.29348</f>
        <v>907.29348000000005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0.0735</f>
        <v>7.3499999999999996E-2</v>
      </c>
      <c r="H387" s="266">
        <f>E387-G387</f>
        <v>9.9265000000000008</v>
      </c>
      <c r="I387" s="266">
        <f>0.1593</f>
        <v>0.1593</v>
      </c>
      <c r="J387" s="132"/>
    </row>
    <row r="388" spans="1:10" ht="14.1" customHeight="1" x14ac:dyDescent="0.25">
      <c r="A388" s="216"/>
      <c r="B388" s="74"/>
      <c r="C388" s="277" t="s">
        <v>110</v>
      </c>
      <c r="D388" s="280"/>
      <c r="E388" s="281"/>
      <c r="F388" s="266">
        <f>3.68175</f>
        <v>3.6817500000000001</v>
      </c>
      <c r="G388" s="266">
        <f>40.32991</f>
        <v>40.329909999999998</v>
      </c>
      <c r="H388" s="266">
        <f>E388-G388</f>
        <v>-40.329909999999998</v>
      </c>
      <c r="I388" s="266">
        <f>84.6091</f>
        <v>84.609099999999998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6">F378+F383+F384+F387+F388</f>
        <v>345.54129</v>
      </c>
      <c r="G389" s="285">
        <f t="shared" si="16"/>
        <v>12530.464500000002</v>
      </c>
      <c r="H389" s="285">
        <f>H378+H383+H384+H387+H388</f>
        <v>17081.535499999998</v>
      </c>
      <c r="I389" s="285">
        <f t="shared" si="16"/>
        <v>9601.9389499999979</v>
      </c>
      <c r="J389" s="132"/>
    </row>
    <row r="390" spans="1:10" ht="14.1" customHeight="1" x14ac:dyDescent="0.2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119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" customHeight="1" thickBot="1" x14ac:dyDescent="0.3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thickBot="1" x14ac:dyDescent="0.3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" customHeight="1" thickBot="1" x14ac:dyDescent="0.3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" customHeight="1" thickBot="1" x14ac:dyDescent="0.3">
      <c r="A404" s="216"/>
      <c r="B404" s="74"/>
      <c r="C404" s="57"/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90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thickBot="1" x14ac:dyDescent="0.3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thickBot="1" x14ac:dyDescent="0.3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114</v>
      </c>
      <c r="D410" s="22" t="s">
        <v>115</v>
      </c>
      <c r="E410" s="20" t="s">
        <v>140</v>
      </c>
      <c r="F410" s="20" t="s">
        <v>141</v>
      </c>
      <c r="G410" s="25" t="s">
        <v>142</v>
      </c>
      <c r="H410" s="20" t="s">
        <v>143</v>
      </c>
      <c r="I410" s="222"/>
      <c r="J410" s="13"/>
    </row>
    <row r="411" spans="1:10" ht="14.1" customHeight="1" x14ac:dyDescent="0.2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117</v>
      </c>
      <c r="D414" s="10"/>
      <c r="E414" s="26">
        <f>SUM(E415:E416)</f>
        <v>61.974410000000006</v>
      </c>
      <c r="F414" s="26">
        <f>SUM(F415:F416)</f>
        <v>852.06886000000009</v>
      </c>
      <c r="G414" s="87"/>
      <c r="H414" s="26">
        <f>SUM(H415:H416)</f>
        <v>794.80034000000001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51.48841</f>
        <v>51.488410000000002</v>
      </c>
      <c r="F415" s="30">
        <f>653.47567</f>
        <v>653.47567000000004</v>
      </c>
      <c r="G415" s="99"/>
      <c r="H415" s="30">
        <f>614.91427</f>
        <v>614.91426999999999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10.486</f>
        <v>10.486000000000001</v>
      </c>
      <c r="F416" s="30">
        <f>198.59319</f>
        <v>198.59318999999999</v>
      </c>
      <c r="G416" s="110"/>
      <c r="H416" s="30">
        <f>179.88607</f>
        <v>179.88606999999999</v>
      </c>
      <c r="I416" s="152"/>
      <c r="J416" s="132"/>
    </row>
    <row r="417" spans="1:10" ht="14.1" customHeight="1" x14ac:dyDescent="0.25">
      <c r="A417" s="216"/>
      <c r="B417" s="74"/>
      <c r="C417" s="263" t="s">
        <v>118</v>
      </c>
      <c r="D417" s="10"/>
      <c r="E417" s="36">
        <f>SUM(E418:E419)</f>
        <v>0</v>
      </c>
      <c r="F417" s="36">
        <f>SUM(F418:F419)</f>
        <v>0</v>
      </c>
      <c r="G417" s="87"/>
      <c r="H417" s="36">
        <f>SUM(H418:H419)</f>
        <v>0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0</f>
        <v>0</v>
      </c>
      <c r="F418" s="30">
        <f>0</f>
        <v>0</v>
      </c>
      <c r="G418" s="99"/>
      <c r="H418" s="30">
        <f>0</f>
        <v>0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0</f>
        <v>0</v>
      </c>
      <c r="F419" s="30">
        <f>0</f>
        <v>0</v>
      </c>
      <c r="G419" s="110"/>
      <c r="H419" s="30">
        <f>0</f>
        <v>0</v>
      </c>
      <c r="I419" s="152"/>
      <c r="J419" s="132"/>
    </row>
    <row r="420" spans="1:10" ht="14.1" customHeight="1" x14ac:dyDescent="0.2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" customHeight="1" thickBot="1" x14ac:dyDescent="0.3">
      <c r="A421" s="216"/>
      <c r="B421" s="74"/>
      <c r="C421" s="283" t="s">
        <v>88</v>
      </c>
      <c r="D421" s="41"/>
      <c r="E421" s="42">
        <f>E411+E414+E417+E420</f>
        <v>61.974410000000006</v>
      </c>
      <c r="F421" s="42">
        <f>F411+F414+F417+F420</f>
        <v>3048.8159900000001</v>
      </c>
      <c r="G421" s="43"/>
      <c r="H421" s="42">
        <f>H411+H414+H417+H420</f>
        <v>2182.4326700000001</v>
      </c>
      <c r="I421" s="27"/>
      <c r="J421" s="132"/>
    </row>
    <row r="422" spans="1:10" ht="36" customHeight="1" x14ac:dyDescent="0.25">
      <c r="A422" s="216"/>
      <c r="B422" s="74"/>
      <c r="C422" s="291" t="s">
        <v>148</v>
      </c>
      <c r="D422" s="291"/>
      <c r="E422" s="291"/>
      <c r="F422" s="291"/>
      <c r="G422" s="291"/>
      <c r="H422" s="152"/>
      <c r="I422" s="152"/>
      <c r="J422" s="132"/>
    </row>
    <row r="423" spans="1:10" ht="14.1" customHeight="1" thickBot="1" x14ac:dyDescent="0.3">
      <c r="A423" s="216"/>
      <c r="B423" s="8"/>
      <c r="C423" s="212"/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2">
    <mergeCell ref="B2:J2"/>
    <mergeCell ref="B9:J9"/>
    <mergeCell ref="C11:D11"/>
    <mergeCell ref="E11:F11"/>
    <mergeCell ref="G11:H11"/>
    <mergeCell ref="C422:G422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26&amp;R03.07.2023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2023-07-03T08:40:43Z</dcterms:modified>
</cp:coreProperties>
</file>