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ollek\Settings\Desktop\a-Publisering\"/>
    </mc:Choice>
  </mc:AlternateContent>
  <xr:revisionPtr revIDLastSave="0" documentId="8_{F07D80BF-FABA-4970-942A-FF588F70C3CC}" xr6:coauthVersionLast="47" xr6:coauthVersionMax="47" xr10:uidLastSave="{00000000-0000-0000-0000-000000000000}"/>
  <bookViews>
    <workbookView xWindow="6120" yWindow="345" windowWidth="17280" windowHeight="118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1" i="1" l="1"/>
  <c r="H422" i="1"/>
  <c r="G422" i="1"/>
  <c r="F422" i="1"/>
  <c r="E422" i="1"/>
  <c r="H421" i="1"/>
  <c r="F421" i="1"/>
  <c r="E421" i="1"/>
  <c r="H420" i="1"/>
  <c r="F420" i="1"/>
  <c r="E420" i="1"/>
  <c r="H419" i="1"/>
  <c r="F419" i="1"/>
  <c r="G419" i="1" s="1"/>
  <c r="E419" i="1"/>
  <c r="H418" i="1"/>
  <c r="F418" i="1"/>
  <c r="E418" i="1"/>
  <c r="H417" i="1"/>
  <c r="F417" i="1"/>
  <c r="F416" i="1" s="1"/>
  <c r="G416" i="1" s="1"/>
  <c r="E417" i="1"/>
  <c r="H416" i="1"/>
  <c r="E416" i="1"/>
  <c r="H415" i="1"/>
  <c r="F415" i="1"/>
  <c r="E415" i="1"/>
  <c r="H414" i="1"/>
  <c r="F414" i="1"/>
  <c r="E414" i="1"/>
  <c r="E413" i="1" s="1"/>
  <c r="E423" i="1" s="1"/>
  <c r="H413" i="1"/>
  <c r="H423" i="1" s="1"/>
  <c r="F413" i="1"/>
  <c r="D391" i="1"/>
  <c r="I390" i="1"/>
  <c r="G390" i="1"/>
  <c r="H390" i="1" s="1"/>
  <c r="F390" i="1"/>
  <c r="I389" i="1"/>
  <c r="G389" i="1"/>
  <c r="H389" i="1" s="1"/>
  <c r="F389" i="1"/>
  <c r="I388" i="1"/>
  <c r="G388" i="1"/>
  <c r="G386" i="1" s="1"/>
  <c r="H386" i="1" s="1"/>
  <c r="F388" i="1"/>
  <c r="F386" i="1" s="1"/>
  <c r="I387" i="1"/>
  <c r="I386" i="1" s="1"/>
  <c r="G387" i="1"/>
  <c r="F387" i="1"/>
  <c r="I385" i="1"/>
  <c r="H385" i="1"/>
  <c r="G385" i="1"/>
  <c r="F385" i="1"/>
  <c r="I384" i="1"/>
  <c r="H384" i="1"/>
  <c r="G384" i="1"/>
  <c r="F384" i="1"/>
  <c r="I383" i="1"/>
  <c r="I380" i="1" s="1"/>
  <c r="H383" i="1"/>
  <c r="G383" i="1"/>
  <c r="F383" i="1"/>
  <c r="I382" i="1"/>
  <c r="H382" i="1"/>
  <c r="G382" i="1"/>
  <c r="F382" i="1"/>
  <c r="I381" i="1"/>
  <c r="H381" i="1"/>
  <c r="G381" i="1"/>
  <c r="F381" i="1"/>
  <c r="H380" i="1"/>
  <c r="G380" i="1"/>
  <c r="G391" i="1" s="1"/>
  <c r="F380" i="1"/>
  <c r="D380" i="1"/>
  <c r="H372" i="1"/>
  <c r="F372" i="1"/>
  <c r="F354" i="1"/>
  <c r="D354" i="1"/>
  <c r="G354" i="1" s="1"/>
  <c r="H353" i="1"/>
  <c r="G353" i="1"/>
  <c r="F353" i="1"/>
  <c r="E353" i="1"/>
  <c r="H352" i="1"/>
  <c r="G352" i="1"/>
  <c r="F352" i="1"/>
  <c r="E352" i="1"/>
  <c r="H351" i="1"/>
  <c r="G351" i="1"/>
  <c r="F351" i="1"/>
  <c r="E351" i="1"/>
  <c r="H350" i="1"/>
  <c r="H354" i="1" s="1"/>
  <c r="G350" i="1"/>
  <c r="F350" i="1"/>
  <c r="E350" i="1"/>
  <c r="E354" i="1" s="1"/>
  <c r="D343" i="1"/>
  <c r="D299" i="1"/>
  <c r="H298" i="1"/>
  <c r="F298" i="1"/>
  <c r="G298" i="1" s="1"/>
  <c r="E298" i="1"/>
  <c r="H297" i="1"/>
  <c r="F297" i="1"/>
  <c r="E297" i="1"/>
  <c r="H296" i="1"/>
  <c r="H295" i="1" s="1"/>
  <c r="H299" i="1" s="1"/>
  <c r="F296" i="1"/>
  <c r="F295" i="1" s="1"/>
  <c r="E296" i="1"/>
  <c r="E295" i="1"/>
  <c r="E299" i="1" s="1"/>
  <c r="D253" i="1"/>
  <c r="H252" i="1"/>
  <c r="F252" i="1"/>
  <c r="G252" i="1" s="1"/>
  <c r="E252" i="1"/>
  <c r="H251" i="1"/>
  <c r="H249" i="1" s="1"/>
  <c r="H253" i="1" s="1"/>
  <c r="F251" i="1"/>
  <c r="E251" i="1"/>
  <c r="H250" i="1"/>
  <c r="F250" i="1"/>
  <c r="E250" i="1"/>
  <c r="F249" i="1"/>
  <c r="G249" i="1" s="1"/>
  <c r="E249" i="1"/>
  <c r="E253" i="1" s="1"/>
  <c r="D207" i="1"/>
  <c r="G207" i="1" s="1"/>
  <c r="H206" i="1"/>
  <c r="G206" i="1"/>
  <c r="F206" i="1"/>
  <c r="E206" i="1"/>
  <c r="H205" i="1"/>
  <c r="G205" i="1"/>
  <c r="F205" i="1"/>
  <c r="E205" i="1"/>
  <c r="H204" i="1"/>
  <c r="H207" i="1" s="1"/>
  <c r="G204" i="1"/>
  <c r="F204" i="1"/>
  <c r="F207" i="1" s="1"/>
  <c r="E204" i="1"/>
  <c r="E207" i="1" s="1"/>
  <c r="D184" i="1"/>
  <c r="H183" i="1"/>
  <c r="G183" i="1"/>
  <c r="F183" i="1"/>
  <c r="E183" i="1"/>
  <c r="H182" i="1"/>
  <c r="F182" i="1"/>
  <c r="G182" i="1" s="1"/>
  <c r="E182" i="1"/>
  <c r="H181" i="1"/>
  <c r="F181" i="1"/>
  <c r="E181" i="1"/>
  <c r="H180" i="1"/>
  <c r="F180" i="1"/>
  <c r="E180" i="1"/>
  <c r="H179" i="1"/>
  <c r="H178" i="1" s="1"/>
  <c r="F179" i="1"/>
  <c r="F178" i="1" s="1"/>
  <c r="G178" i="1" s="1"/>
  <c r="E179" i="1"/>
  <c r="E178" i="1" s="1"/>
  <c r="H177" i="1"/>
  <c r="G177" i="1"/>
  <c r="F177" i="1"/>
  <c r="E177" i="1"/>
  <c r="H176" i="1"/>
  <c r="F176" i="1"/>
  <c r="E176" i="1"/>
  <c r="H175" i="1"/>
  <c r="H184" i="1" s="1"/>
  <c r="F175" i="1"/>
  <c r="E175" i="1"/>
  <c r="D169" i="1"/>
  <c r="D167" i="1"/>
  <c r="I148" i="1"/>
  <c r="H148" i="1"/>
  <c r="G148" i="1"/>
  <c r="F148" i="1"/>
  <c r="I147" i="1"/>
  <c r="G147" i="1"/>
  <c r="H147" i="1" s="1"/>
  <c r="F147" i="1"/>
  <c r="H146" i="1"/>
  <c r="I145" i="1"/>
  <c r="G145" i="1"/>
  <c r="H145" i="1" s="1"/>
  <c r="F145" i="1"/>
  <c r="I144" i="1"/>
  <c r="H144" i="1"/>
  <c r="G144" i="1"/>
  <c r="F144" i="1"/>
  <c r="I143" i="1"/>
  <c r="G143" i="1"/>
  <c r="H143" i="1" s="1"/>
  <c r="F143" i="1"/>
  <c r="I142" i="1"/>
  <c r="G142" i="1"/>
  <c r="H142" i="1" s="1"/>
  <c r="F142" i="1"/>
  <c r="I141" i="1"/>
  <c r="G141" i="1"/>
  <c r="H141" i="1" s="1"/>
  <c r="F141" i="1"/>
  <c r="I140" i="1"/>
  <c r="G140" i="1"/>
  <c r="G139" i="1" s="1"/>
  <c r="F140" i="1"/>
  <c r="F139" i="1" s="1"/>
  <c r="I139" i="1"/>
  <c r="E139" i="1"/>
  <c r="D139" i="1"/>
  <c r="I138" i="1"/>
  <c r="H138" i="1"/>
  <c r="F138" i="1"/>
  <c r="I137" i="1"/>
  <c r="H137" i="1"/>
  <c r="F137" i="1"/>
  <c r="I136" i="1"/>
  <c r="H136" i="1"/>
  <c r="F136" i="1"/>
  <c r="I135" i="1"/>
  <c r="H135" i="1"/>
  <c r="F135" i="1"/>
  <c r="F134" i="1" s="1"/>
  <c r="F133" i="1" s="1"/>
  <c r="I134" i="1"/>
  <c r="I133" i="1" s="1"/>
  <c r="H134" i="1"/>
  <c r="G134" i="1"/>
  <c r="E134" i="1"/>
  <c r="D134" i="1"/>
  <c r="D133" i="1" s="1"/>
  <c r="E133" i="1"/>
  <c r="I132" i="1"/>
  <c r="H132" i="1"/>
  <c r="G132" i="1"/>
  <c r="F132" i="1"/>
  <c r="I131" i="1"/>
  <c r="H131" i="1"/>
  <c r="F131" i="1"/>
  <c r="I130" i="1"/>
  <c r="H130" i="1"/>
  <c r="G130" i="1"/>
  <c r="F130" i="1"/>
  <c r="I129" i="1"/>
  <c r="I128" i="1" s="1"/>
  <c r="H129" i="1"/>
  <c r="G129" i="1"/>
  <c r="G128" i="1" s="1"/>
  <c r="F129" i="1"/>
  <c r="F128" i="1"/>
  <c r="E128" i="1"/>
  <c r="E150" i="1" s="1"/>
  <c r="D128" i="1"/>
  <c r="D150" i="1" s="1"/>
  <c r="C126" i="1"/>
  <c r="I106" i="1"/>
  <c r="H106" i="1"/>
  <c r="G106" i="1"/>
  <c r="F106" i="1"/>
  <c r="I105" i="1"/>
  <c r="G105" i="1"/>
  <c r="H105" i="1" s="1"/>
  <c r="F105" i="1"/>
  <c r="I104" i="1"/>
  <c r="H104" i="1"/>
  <c r="G104" i="1"/>
  <c r="F104" i="1"/>
  <c r="I103" i="1"/>
  <c r="G103" i="1"/>
  <c r="H103" i="1" s="1"/>
  <c r="F103" i="1"/>
  <c r="I102" i="1"/>
  <c r="H102" i="1"/>
  <c r="G102" i="1"/>
  <c r="F102" i="1"/>
  <c r="I101" i="1"/>
  <c r="G101" i="1"/>
  <c r="H101" i="1" s="1"/>
  <c r="F101" i="1"/>
  <c r="I100" i="1"/>
  <c r="H100" i="1"/>
  <c r="G100" i="1"/>
  <c r="F100" i="1"/>
  <c r="I99" i="1"/>
  <c r="G99" i="1"/>
  <c r="H99" i="1" s="1"/>
  <c r="F99" i="1"/>
  <c r="I98" i="1"/>
  <c r="H98" i="1"/>
  <c r="G98" i="1"/>
  <c r="F98" i="1"/>
  <c r="I97" i="1"/>
  <c r="G97" i="1"/>
  <c r="G96" i="1" s="1"/>
  <c r="G95" i="1" s="1"/>
  <c r="F97" i="1"/>
  <c r="F96" i="1" s="1"/>
  <c r="F95" i="1" s="1"/>
  <c r="I96" i="1"/>
  <c r="I95" i="1" s="1"/>
  <c r="E96" i="1"/>
  <c r="E95" i="1" s="1"/>
  <c r="D96" i="1"/>
  <c r="D95" i="1"/>
  <c r="I94" i="1"/>
  <c r="G94" i="1"/>
  <c r="H94" i="1" s="1"/>
  <c r="H92" i="1" s="1"/>
  <c r="F94" i="1"/>
  <c r="I93" i="1"/>
  <c r="I92" i="1" s="1"/>
  <c r="H93" i="1"/>
  <c r="G93" i="1"/>
  <c r="F93" i="1"/>
  <c r="G92" i="1"/>
  <c r="G107" i="1" s="1"/>
  <c r="F92" i="1"/>
  <c r="F107" i="1" s="1"/>
  <c r="E92" i="1"/>
  <c r="D92" i="1"/>
  <c r="D107" i="1" s="1"/>
  <c r="C89" i="1"/>
  <c r="H85" i="1"/>
  <c r="F85" i="1"/>
  <c r="D85" i="1"/>
  <c r="G61" i="1"/>
  <c r="G60" i="1"/>
  <c r="H55" i="1"/>
  <c r="I32" i="1" s="1"/>
  <c r="I27" i="1" s="1"/>
  <c r="G55" i="1"/>
  <c r="F55" i="1"/>
  <c r="E55" i="1"/>
  <c r="I43" i="1"/>
  <c r="H43" i="1"/>
  <c r="G43" i="1"/>
  <c r="F43" i="1"/>
  <c r="H42" i="1"/>
  <c r="I41" i="1"/>
  <c r="H41" i="1"/>
  <c r="G41" i="1"/>
  <c r="F41" i="1"/>
  <c r="I40" i="1"/>
  <c r="H40" i="1"/>
  <c r="G40" i="1"/>
  <c r="F40" i="1"/>
  <c r="I39" i="1"/>
  <c r="G39" i="1"/>
  <c r="H39" i="1" s="1"/>
  <c r="F39" i="1"/>
  <c r="I38" i="1"/>
  <c r="H38" i="1"/>
  <c r="G38" i="1"/>
  <c r="F38" i="1"/>
  <c r="I37" i="1"/>
  <c r="H37" i="1"/>
  <c r="G37" i="1"/>
  <c r="F37" i="1"/>
  <c r="I36" i="1"/>
  <c r="G36" i="1"/>
  <c r="H36" i="1" s="1"/>
  <c r="F36" i="1"/>
  <c r="I35" i="1"/>
  <c r="G35" i="1"/>
  <c r="F35" i="1"/>
  <c r="E35" i="1"/>
  <c r="F34" i="1"/>
  <c r="F26" i="1" s="1"/>
  <c r="D34" i="1"/>
  <c r="I33" i="1"/>
  <c r="G33" i="1"/>
  <c r="H33" i="1" s="1"/>
  <c r="F33" i="1"/>
  <c r="G32" i="1"/>
  <c r="H32" i="1" s="1"/>
  <c r="F32" i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G28" i="1"/>
  <c r="G27" i="1" s="1"/>
  <c r="F28" i="1"/>
  <c r="F27" i="1" s="1"/>
  <c r="E27" i="1"/>
  <c r="D27" i="1"/>
  <c r="D26" i="1" s="1"/>
  <c r="D44" i="1" s="1"/>
  <c r="E26" i="1"/>
  <c r="I25" i="1"/>
  <c r="G25" i="1"/>
  <c r="H25" i="1" s="1"/>
  <c r="H23" i="1" s="1"/>
  <c r="F25" i="1"/>
  <c r="I24" i="1"/>
  <c r="I23" i="1" s="1"/>
  <c r="G24" i="1"/>
  <c r="H24" i="1" s="1"/>
  <c r="F24" i="1"/>
  <c r="G23" i="1"/>
  <c r="F23" i="1"/>
  <c r="E23" i="1"/>
  <c r="E44" i="1" s="1"/>
  <c r="D23" i="1"/>
  <c r="H16" i="1"/>
  <c r="F16" i="1"/>
  <c r="D16" i="1"/>
  <c r="H128" i="1" l="1"/>
  <c r="G133" i="1"/>
  <c r="I34" i="1"/>
  <c r="I26" i="1" s="1"/>
  <c r="I44" i="1" s="1"/>
  <c r="G34" i="1"/>
  <c r="H35" i="1"/>
  <c r="E184" i="1"/>
  <c r="G295" i="1"/>
  <c r="F299" i="1"/>
  <c r="G299" i="1" s="1"/>
  <c r="H391" i="1"/>
  <c r="F150" i="1"/>
  <c r="F184" i="1"/>
  <c r="G184" i="1" s="1"/>
  <c r="F423" i="1"/>
  <c r="F44" i="1"/>
  <c r="G26" i="1"/>
  <c r="G44" i="1" s="1"/>
  <c r="H34" i="1"/>
  <c r="I107" i="1"/>
  <c r="G150" i="1"/>
  <c r="I391" i="1"/>
  <c r="E107" i="1"/>
  <c r="I150" i="1"/>
  <c r="F391" i="1"/>
  <c r="H28" i="1"/>
  <c r="H27" i="1" s="1"/>
  <c r="H140" i="1"/>
  <c r="H139" i="1" s="1"/>
  <c r="H133" i="1" s="1"/>
  <c r="H150" i="1" s="1"/>
  <c r="H97" i="1"/>
  <c r="H96" i="1" s="1"/>
  <c r="H95" i="1" s="1"/>
  <c r="H107" i="1" s="1"/>
  <c r="G175" i="1"/>
  <c r="F253" i="1"/>
  <c r="G253" i="1" s="1"/>
  <c r="G413" i="1"/>
  <c r="H26" i="1" l="1"/>
  <c r="H44" i="1" s="1"/>
</calcChain>
</file>

<file path=xl/sharedStrings.xml><?xml version="1.0" encoding="utf-8"?>
<sst xmlns="http://schemas.openxmlformats.org/spreadsheetml/2006/main" count="359" uniqueCount="152">
  <si>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</si>
  <si>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</si>
  <si>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</si>
  <si>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</si>
  <si>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</si>
  <si>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</si>
  <si>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</si>
  <si>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</si>
  <si>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</si>
  <si>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</si>
  <si>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</si>
  <si>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</si>
  <si>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</si>
  <si>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</si>
  <si>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</si>
  <si>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</si>
  <si>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</si>
  <si>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</si>
  <si>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</si>
  <si>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</si>
  <si>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</si>
  <si>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</si>
  <si>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</si>
  <si>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</si>
  <si>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</si>
  <si>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</si>
  <si>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</si>
  <si>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</si>
  <si>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</si>
  <si>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</si>
  <si>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</si>
  <si>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</si>
  <si>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</si>
  <si>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</si>
  <si>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</si>
  <si>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</si>
  <si>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</si>
  <si>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</si>
  <si>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</si>
  <si>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</si>
  <si>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</si>
  <si>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</si>
  <si>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</si>
  <si>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</si>
  <si>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</si>
  <si>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</si>
  <si>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</si>
  <si>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</si>
  <si>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</si>
  <si>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</si>
  <si>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</si>
  <si>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</si>
  <si>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</si>
  <si>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</si>
  <si>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</si>
  <si>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</si>
  <si>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</si>
  <si>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</si>
  <si>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</si>
  <si>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</si>
  <si>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</si>
  <si>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</si>
  <si>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</si>
  <si>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</si>
  <si>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</si>
  <si>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</si>
  <si>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</si>
  <si>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</si>
  <si>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</si>
  <si>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</si>
  <si>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</si>
  <si>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</si>
  <si>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</si>
  <si>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</si>
  <si>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</si>
  <si>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</si>
  <si>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</si>
  <si>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</si>
  <si>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</si>
  <si>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</si>
  <si>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</si>
  <si>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</si>
  <si>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</si>
  <si>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</si>
  <si>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</si>
  <si>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</si>
  <si>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</si>
  <si>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</si>
  <si>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</si>
  <si>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</si>
  <si>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</si>
  <si>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</si>
  <si>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</si>
  <si>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</si>
  <si>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</si>
  <si>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</si>
  <si>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</si>
  <si>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</si>
  <si>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</si>
  <si>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</si>
  <si>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</si>
  <si>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</si>
  <si>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</si>
  <si>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</si>
  <si>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</si>
  <si>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</si>
  <si>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</si>
  <si>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</si>
  <si>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</si>
  <si>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</si>
  <si>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</si>
  <si>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</si>
  <si>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</si>
  <si>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</si>
  <si>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</si>
  <si>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</si>
  <si>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</si>
  <si>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</si>
  <si>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</si>
  <si>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t>LANGE NORD FOR 62°N</t>
  </si>
  <si>
    <t>BROSME NORD FOR 62°N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</si>
  <si>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 og kvotebytte med EU er totalt 323 tonn. Det er gjort et fratrekk for ufisket byttekvantum til EU i 2023 fra den norske kvoten, som estimeres å være 275 tonn. Av den norske kvoten er avsatt 10 tonn til forsknings- og undervisningsformål.</t>
    </r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</si>
  <si>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</si>
  <si>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</si>
  <si>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</si>
  <si>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</si>
  <si>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</si>
  <si>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</si>
  <si>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</si>
  <si>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</si>
  <si>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</si>
  <si>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</si>
  <si>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</si>
  <si>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</si>
  <si>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</si>
  <si>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</si>
  <si>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</si>
  <si>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</si>
  <si>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</si>
  <si>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er foreløpig ikke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</si>
  <si>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</si>
  <si>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</si>
  <si>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 under 11 meter og 843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</si>
  <si>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</si>
  <si>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t>2 Registrert rekreasjonsfiske utgjør 45 tonn, men det legges til grunn at hele avsetningen tas</t>
  </si>
  <si>
    <t>4 Registrert rekreasjonsfiske utgjør 165 tonn, men det legges til grunn at hele avsetningen tas</t>
  </si>
  <si>
    <t>3 Registrert rekreasjonsfiske utgjør 564 tonn, men det legges til grunn at hele avsetningen tas</t>
  </si>
  <si>
    <t>FANGST UKE 18</t>
  </si>
  <si>
    <t>FANGST T.O.M UKE 18</t>
  </si>
  <si>
    <t>RESTKVOTER UKE 18</t>
  </si>
  <si>
    <t>FANGST T.O.M UKE 18 2023</t>
  </si>
  <si>
    <r>
      <t>3</t>
    </r>
    <r>
      <rPr>
        <sz val="9"/>
        <color indexed="8"/>
        <rFont val="Calibri"/>
        <family val="2"/>
      </rPr>
      <t xml:space="preserve"> Det er fisket 1729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</si>
</sst>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27" fillId="0" borderId="0" xfId="0" applyFont="1"/>
    <xf numFmtId="0" fontId="28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top" wrapText="1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zoomScale="85" zoomScaleNormal="85" zoomScaleSheetLayoutView="100" zoomScalePageLayoutView="85" workbookViewId="0">
      <selection activeCell="I13" sqref="I13"/>
    </sheetView>
  </sheetViews>
  <sheetFormatPr baseColWidth="10"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02" t="s">
        <v>123</v>
      </c>
      <c r="C2" s="303"/>
      <c r="D2" s="303"/>
      <c r="E2" s="303"/>
      <c r="F2" s="303"/>
      <c r="G2" s="303"/>
      <c r="H2" s="303"/>
      <c r="I2" s="303"/>
      <c r="J2" s="304"/>
    </row>
    <row r="3" spans="1:10" ht="14.85" customHeight="1" x14ac:dyDescent="0.25">
      <c r="A3" s="1"/>
      <c r="B3" s="1"/>
      <c r="C3" s="1" t="s">
        <v>116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116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116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116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116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8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5"/>
      <c r="C9" s="306"/>
      <c r="D9" s="306"/>
      <c r="E9" s="306"/>
      <c r="F9" s="306"/>
      <c r="G9" s="306"/>
      <c r="H9" s="306"/>
      <c r="I9" s="306"/>
      <c r="J9" s="307"/>
    </row>
    <row r="10" spans="1:10" ht="12" customHeight="1" x14ac:dyDescent="0.25">
      <c r="A10" s="1"/>
      <c r="B10" s="253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8"/>
      <c r="J11" s="243"/>
    </row>
    <row r="12" spans="1:10" ht="14.1" customHeight="1" x14ac:dyDescent="0.25">
      <c r="A12" s="1"/>
      <c r="B12" s="253"/>
      <c r="C12" s="99"/>
      <c r="D12" s="99"/>
      <c r="E12" s="99" t="s">
        <v>4</v>
      </c>
      <c r="F12" s="114">
        <v>62439</v>
      </c>
      <c r="G12" s="115" t="s">
        <v>5</v>
      </c>
      <c r="H12" s="114">
        <v>16997</v>
      </c>
      <c r="I12" s="178"/>
      <c r="J12" s="243"/>
    </row>
    <row r="13" spans="1:10" ht="15.75" customHeight="1" x14ac:dyDescent="0.25">
      <c r="A13" s="1"/>
      <c r="B13" s="253"/>
      <c r="C13" s="115" t="s">
        <v>6</v>
      </c>
      <c r="D13" s="117">
        <v>212124</v>
      </c>
      <c r="E13" s="115" t="s">
        <v>7</v>
      </c>
      <c r="F13" s="117">
        <v>134682</v>
      </c>
      <c r="G13" s="115" t="s">
        <v>8</v>
      </c>
      <c r="H13" s="117">
        <v>95779</v>
      </c>
      <c r="I13" s="178"/>
      <c r="J13" s="243"/>
    </row>
    <row r="14" spans="1:10" ht="14.25" customHeight="1" x14ac:dyDescent="0.25">
      <c r="A14" s="1"/>
      <c r="B14" s="253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13074</v>
      </c>
      <c r="I14" s="178"/>
      <c r="J14" s="243"/>
    </row>
    <row r="15" spans="1:10" ht="15.75" customHeight="1" x14ac:dyDescent="0.25">
      <c r="A15" s="1"/>
      <c r="B15" s="253"/>
      <c r="C15" s="115" t="s">
        <v>74</v>
      </c>
      <c r="D15" s="117">
        <v>62179</v>
      </c>
      <c r="E15" s="147"/>
      <c r="F15" s="166"/>
      <c r="G15" s="165" t="s">
        <v>12</v>
      </c>
      <c r="H15" s="290">
        <v>8832</v>
      </c>
      <c r="I15" s="178"/>
      <c r="J15" s="243"/>
    </row>
    <row r="16" spans="1:10" ht="14.1" customHeight="1" x14ac:dyDescent="0.25">
      <c r="A16" s="1"/>
      <c r="B16" s="253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214967</v>
      </c>
      <c r="G16" s="177" t="s">
        <v>7</v>
      </c>
      <c r="H16" s="189">
        <f>SUM(H12:H15)</f>
        <v>134682</v>
      </c>
      <c r="J16" s="243"/>
    </row>
    <row r="17" spans="1:10" ht="30" customHeight="1" x14ac:dyDescent="0.25">
      <c r="A17" s="101"/>
      <c r="B17" s="24"/>
      <c r="C17" s="301" t="s">
        <v>142</v>
      </c>
      <c r="D17" s="301"/>
      <c r="E17" s="301"/>
      <c r="F17" s="301"/>
      <c r="G17" s="301"/>
      <c r="H17" s="301"/>
      <c r="I17" s="101"/>
      <c r="J17" s="157"/>
    </row>
    <row r="18" spans="1:10" ht="15" customHeight="1" x14ac:dyDescent="0.25">
      <c r="A18" s="1"/>
      <c r="B18" s="240"/>
      <c r="C18" s="271"/>
      <c r="D18" s="271"/>
      <c r="E18" s="109"/>
      <c r="F18" s="271"/>
      <c r="G18" s="271"/>
      <c r="H18" s="271"/>
      <c r="I18" s="271"/>
      <c r="J18" s="184"/>
    </row>
    <row r="19" spans="1:10" ht="15" customHeight="1" x14ac:dyDescent="0.25">
      <c r="A19" s="1"/>
      <c r="B19" s="253"/>
      <c r="C19" s="257"/>
      <c r="D19" s="257"/>
      <c r="E19" s="274"/>
      <c r="F19" s="257"/>
      <c r="G19" s="257"/>
      <c r="H19" s="257"/>
      <c r="I19" s="257"/>
      <c r="J19" s="3"/>
    </row>
    <row r="20" spans="1:10" ht="15" customHeight="1" x14ac:dyDescent="0.25">
      <c r="A20" s="1"/>
      <c r="B20" s="253"/>
      <c r="C20" s="18" t="s">
        <v>15</v>
      </c>
      <c r="D20" s="257"/>
      <c r="E20" s="274"/>
      <c r="F20" s="257"/>
      <c r="G20" s="257"/>
      <c r="H20" s="202"/>
      <c r="I20" s="257"/>
      <c r="J20" s="3"/>
    </row>
    <row r="21" spans="1:10" ht="12" customHeight="1" x14ac:dyDescent="0.25">
      <c r="A21" s="1"/>
      <c r="B21" s="253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147</v>
      </c>
      <c r="G22" s="68" t="s">
        <v>148</v>
      </c>
      <c r="H22" s="68" t="s">
        <v>149</v>
      </c>
      <c r="I22" s="68" t="s">
        <v>150</v>
      </c>
      <c r="J22" s="279"/>
    </row>
    <row r="23" spans="1:10" ht="14.1" customHeight="1" x14ac:dyDescent="0.25">
      <c r="A23" s="1"/>
      <c r="B23" s="253"/>
      <c r="C23" s="16" t="s">
        <v>19</v>
      </c>
      <c r="D23" s="28">
        <f>D24+D25</f>
        <v>62439</v>
      </c>
      <c r="E23" s="28">
        <f>E24+E25</f>
        <v>60812</v>
      </c>
      <c r="F23" s="28">
        <f t="shared" ref="F23:I23" si="0">F25+F24</f>
        <v>154.84950000000001</v>
      </c>
      <c r="G23" s="28">
        <f t="shared" si="0"/>
        <v>34341.956319999998</v>
      </c>
      <c r="H23" s="11">
        <f t="shared" si="0"/>
        <v>26470.043680000002</v>
      </c>
      <c r="I23" s="11">
        <f t="shared" si="0"/>
        <v>39181.241829999999</v>
      </c>
      <c r="J23" s="243"/>
    </row>
    <row r="24" spans="1:10" ht="14.1" customHeight="1" x14ac:dyDescent="0.25">
      <c r="A24" s="1"/>
      <c r="B24" s="253"/>
      <c r="C24" s="44" t="s">
        <v>20</v>
      </c>
      <c r="D24" s="45">
        <v>61689</v>
      </c>
      <c r="E24" s="45">
        <v>60042</v>
      </c>
      <c r="F24" s="23">
        <f>154.8495</f>
        <v>154.84950000000001</v>
      </c>
      <c r="G24" s="23">
        <f>33940.22803</f>
        <v>33940.228029999998</v>
      </c>
      <c r="H24" s="23">
        <f>E24-G24</f>
        <v>26101.771970000002</v>
      </c>
      <c r="I24" s="23">
        <f>38989.59934</f>
        <v>38989.599340000001</v>
      </c>
      <c r="J24" s="243"/>
    </row>
    <row r="25" spans="1:10" ht="14.1" customHeight="1" x14ac:dyDescent="0.25">
      <c r="A25" s="1"/>
      <c r="B25" s="253"/>
      <c r="C25" s="48" t="s">
        <v>21</v>
      </c>
      <c r="D25" s="49">
        <v>750</v>
      </c>
      <c r="E25" s="49">
        <v>770</v>
      </c>
      <c r="F25" s="171">
        <f>0</f>
        <v>0</v>
      </c>
      <c r="G25" s="23">
        <f>401.72829</f>
        <v>401.72829000000002</v>
      </c>
      <c r="H25" s="23">
        <f>E25-G25</f>
        <v>368.27170999999998</v>
      </c>
      <c r="I25" s="23">
        <f>191.64249</f>
        <v>191.64249000000001</v>
      </c>
      <c r="J25" s="243"/>
    </row>
    <row r="26" spans="1:10" ht="14.1" customHeight="1" x14ac:dyDescent="0.25">
      <c r="A26" s="1"/>
      <c r="B26" s="253"/>
      <c r="C26" s="16" t="s">
        <v>22</v>
      </c>
      <c r="D26" s="28">
        <f>D27+D33+D34</f>
        <v>139173</v>
      </c>
      <c r="E26" s="28">
        <f>E27+E33+E34</f>
        <v>144874</v>
      </c>
      <c r="F26" s="28">
        <f t="shared" ref="F26:I26" si="1">F34+F33+F27</f>
        <v>1974.2333799999999</v>
      </c>
      <c r="G26" s="11">
        <f t="shared" si="1"/>
        <v>109255.21823</v>
      </c>
      <c r="H26" s="11">
        <f t="shared" si="1"/>
        <v>35618.781770000001</v>
      </c>
      <c r="I26" s="11">
        <f t="shared" si="1"/>
        <v>151521.78314000001</v>
      </c>
      <c r="J26" s="243"/>
    </row>
    <row r="27" spans="1:10" ht="15" customHeight="1" x14ac:dyDescent="0.25">
      <c r="A27" s="51"/>
      <c r="B27" s="53"/>
      <c r="C27" s="56" t="s">
        <v>23</v>
      </c>
      <c r="D27" s="58">
        <f>D28+D29+D30+D31+D32</f>
        <v>108142</v>
      </c>
      <c r="E27" s="58">
        <f>E28+E29+E30+E31+E32</f>
        <v>112978</v>
      </c>
      <c r="F27" s="132">
        <f>F28+F29+F30+F31+F32</f>
        <v>1383.5967499999999</v>
      </c>
      <c r="G27" s="132">
        <f t="shared" ref="G27:I27" si="2">G28+G29+G30+G31+G32</f>
        <v>91374.581049999993</v>
      </c>
      <c r="H27" s="132">
        <f t="shared" si="2"/>
        <v>21603.418949999999</v>
      </c>
      <c r="I27" s="132">
        <f t="shared" si="2"/>
        <v>122623.48171000001</v>
      </c>
      <c r="J27" s="243"/>
    </row>
    <row r="28" spans="1:10" ht="14.1" customHeight="1" x14ac:dyDescent="0.25">
      <c r="A28" s="197"/>
      <c r="B28" s="182"/>
      <c r="C28" s="62" t="s">
        <v>24</v>
      </c>
      <c r="D28" s="63">
        <v>26791</v>
      </c>
      <c r="E28" s="63">
        <v>28630</v>
      </c>
      <c r="F28" s="203">
        <f>320.85899</f>
        <v>320.85899000000001</v>
      </c>
      <c r="G28" s="127">
        <f>24670.60305 - F56</f>
        <v>24670.603050000002</v>
      </c>
      <c r="H28" s="127">
        <f t="shared" ref="H28:H40" si="3">E28-G28</f>
        <v>3959.3969499999985</v>
      </c>
      <c r="I28" s="127">
        <f>34142.51611 - H56</f>
        <v>34142.516109999997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28753</v>
      </c>
      <c r="E29" s="63">
        <v>29665</v>
      </c>
      <c r="F29" s="127">
        <f>167.52736</f>
        <v>167.52735999999999</v>
      </c>
      <c r="G29" s="127">
        <f>25841.69953 - F57</f>
        <v>25841.699530000002</v>
      </c>
      <c r="H29" s="127">
        <f t="shared" si="3"/>
        <v>3823.3004699999983</v>
      </c>
      <c r="I29" s="127">
        <f>34869.25601 - H57</f>
        <v>34869.256009999997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25789</v>
      </c>
      <c r="E30" s="63">
        <v>27244</v>
      </c>
      <c r="F30" s="127">
        <f>749.56016</f>
        <v>749.56016</v>
      </c>
      <c r="G30" s="127">
        <f>23601.97312 - F58</f>
        <v>23601.973119999999</v>
      </c>
      <c r="H30" s="127">
        <f t="shared" si="3"/>
        <v>3642.0268800000013</v>
      </c>
      <c r="I30" s="127">
        <f>31545.26666 - H58</f>
        <v>31545.266660000001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18937</v>
      </c>
      <c r="E31" s="63">
        <v>19339</v>
      </c>
      <c r="F31" s="127">
        <f>145.65024</f>
        <v>145.65024</v>
      </c>
      <c r="G31" s="127">
        <f>17260.30535 - F59</f>
        <v>17260.305349999999</v>
      </c>
      <c r="H31" s="127">
        <f t="shared" si="3"/>
        <v>2078.6946500000013</v>
      </c>
      <c r="I31" s="127">
        <f>22066.44293 - H59</f>
        <v>22066.442930000001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7872</v>
      </c>
      <c r="E32" s="63">
        <v>8100</v>
      </c>
      <c r="F32" s="127">
        <f>E55</f>
        <v>0</v>
      </c>
      <c r="G32" s="127">
        <f>F55</f>
        <v>0</v>
      </c>
      <c r="H32" s="127">
        <f t="shared" si="3"/>
        <v>8100</v>
      </c>
      <c r="I32" s="127">
        <f>H55</f>
        <v>0</v>
      </c>
      <c r="J32" s="65"/>
    </row>
    <row r="33" spans="1:13" ht="14.1" customHeight="1" x14ac:dyDescent="0.25">
      <c r="A33" s="66"/>
      <c r="B33" s="53"/>
      <c r="C33" s="56" t="s">
        <v>29</v>
      </c>
      <c r="D33" s="58">
        <v>16997</v>
      </c>
      <c r="E33" s="58">
        <v>16859</v>
      </c>
      <c r="F33" s="132">
        <f>73.29306</f>
        <v>73.293059999999997</v>
      </c>
      <c r="G33" s="132">
        <f>7331.48186</f>
        <v>7331.4818599999999</v>
      </c>
      <c r="H33" s="132">
        <f t="shared" si="3"/>
        <v>9527.5181400000001</v>
      </c>
      <c r="I33" s="132">
        <f>11263.19818</f>
        <v>11263.198179999999</v>
      </c>
      <c r="J33" s="65"/>
    </row>
    <row r="34" spans="1:13" ht="14.1" customHeight="1" x14ac:dyDescent="0.25">
      <c r="A34" s="66"/>
      <c r="B34" s="53"/>
      <c r="C34" s="56" t="s">
        <v>30</v>
      </c>
      <c r="D34" s="58">
        <f>D35+D36</f>
        <v>14034</v>
      </c>
      <c r="E34" s="58">
        <v>15037</v>
      </c>
      <c r="F34" s="132">
        <f>F35+F36</f>
        <v>517.34357</v>
      </c>
      <c r="G34" s="132">
        <f>G35+G36</f>
        <v>10549.15532</v>
      </c>
      <c r="H34" s="132">
        <f t="shared" si="3"/>
        <v>4487.8446800000002</v>
      </c>
      <c r="I34" s="132">
        <f>I35+I36</f>
        <v>17635.10325</v>
      </c>
      <c r="J34" s="65"/>
    </row>
    <row r="35" spans="1:13" ht="14.1" customHeight="1" x14ac:dyDescent="0.25">
      <c r="A35" s="197"/>
      <c r="B35" s="182"/>
      <c r="C35" s="62" t="s">
        <v>31</v>
      </c>
      <c r="D35" s="63">
        <v>13074</v>
      </c>
      <c r="E35" s="63">
        <f>E34-E36</f>
        <v>14077</v>
      </c>
      <c r="F35" s="127">
        <f>517.34357</f>
        <v>517.34357</v>
      </c>
      <c r="G35" s="132">
        <f>12828.15532 - F60 - F61</f>
        <v>10549.15532</v>
      </c>
      <c r="H35" s="127">
        <f t="shared" si="3"/>
        <v>3527.8446800000002</v>
      </c>
      <c r="I35" s="127">
        <f>20585.10325 - H60 - H61</f>
        <v>17635.10325</v>
      </c>
      <c r="J35" s="65"/>
    </row>
    <row r="36" spans="1:13" ht="14.1" customHeight="1" x14ac:dyDescent="0.25">
      <c r="A36" s="197"/>
      <c r="B36" s="182"/>
      <c r="C36" s="69" t="s">
        <v>32</v>
      </c>
      <c r="D36" s="70">
        <v>960</v>
      </c>
      <c r="E36" s="70">
        <v>960</v>
      </c>
      <c r="F36" s="71">
        <f>E60</f>
        <v>0</v>
      </c>
      <c r="G36" s="71">
        <f>F60</f>
        <v>0</v>
      </c>
      <c r="H36" s="71">
        <f t="shared" si="3"/>
        <v>960</v>
      </c>
      <c r="I36" s="71">
        <f>H60</f>
        <v>0</v>
      </c>
      <c r="J36" s="65"/>
    </row>
    <row r="37" spans="1:13" ht="15.75" customHeight="1" x14ac:dyDescent="0.25">
      <c r="A37" s="1"/>
      <c r="B37" s="253"/>
      <c r="C37" s="73" t="s">
        <v>33</v>
      </c>
      <c r="D37" s="143">
        <v>2000</v>
      </c>
      <c r="E37" s="143">
        <v>2000</v>
      </c>
      <c r="F37" s="139">
        <f>0</f>
        <v>0</v>
      </c>
      <c r="G37" s="139">
        <f>159.79</f>
        <v>159.79</v>
      </c>
      <c r="H37" s="139">
        <f t="shared" si="3"/>
        <v>1840.21</v>
      </c>
      <c r="I37" s="139">
        <f>495.1048</f>
        <v>495.10480000000001</v>
      </c>
      <c r="J37" s="243"/>
    </row>
    <row r="38" spans="1:13" ht="14.1" customHeight="1" x14ac:dyDescent="0.25">
      <c r="A38" s="1"/>
      <c r="B38" s="253"/>
      <c r="C38" s="73" t="s">
        <v>34</v>
      </c>
      <c r="D38" s="143">
        <v>855</v>
      </c>
      <c r="E38" s="143">
        <v>855</v>
      </c>
      <c r="F38" s="98">
        <f>1.758</f>
        <v>1.758</v>
      </c>
      <c r="G38" s="98">
        <f>438.71071</f>
        <v>438.71071000000001</v>
      </c>
      <c r="H38" s="98">
        <f t="shared" si="3"/>
        <v>416.28928999999999</v>
      </c>
      <c r="I38" s="98">
        <f>455.53437</f>
        <v>455.53437000000002</v>
      </c>
      <c r="J38" s="243"/>
    </row>
    <row r="39" spans="1:13" ht="17.25" customHeight="1" x14ac:dyDescent="0.25">
      <c r="A39" s="1"/>
      <c r="B39" s="253"/>
      <c r="C39" s="73" t="s">
        <v>35</v>
      </c>
      <c r="D39" s="143">
        <v>3000</v>
      </c>
      <c r="E39" s="143">
        <v>3000</v>
      </c>
      <c r="F39" s="98">
        <f>E61</f>
        <v>151</v>
      </c>
      <c r="G39" s="98">
        <f>F61</f>
        <v>2279</v>
      </c>
      <c r="H39" s="98">
        <f t="shared" si="3"/>
        <v>721</v>
      </c>
      <c r="I39" s="98">
        <f>H61</f>
        <v>2950</v>
      </c>
      <c r="J39" s="243"/>
    </row>
    <row r="40" spans="1:13" ht="17.25" customHeight="1" x14ac:dyDescent="0.25">
      <c r="A40" s="1"/>
      <c r="B40" s="253"/>
      <c r="C40" s="73" t="s">
        <v>36</v>
      </c>
      <c r="D40" s="143">
        <v>7000</v>
      </c>
      <c r="E40" s="143">
        <v>7000</v>
      </c>
      <c r="F40" s="98">
        <f>20.70893</f>
        <v>20.708929999999999</v>
      </c>
      <c r="G40" s="98">
        <f>E40</f>
        <v>7000</v>
      </c>
      <c r="H40" s="98">
        <f t="shared" si="3"/>
        <v>0</v>
      </c>
      <c r="I40" s="98">
        <f>E40</f>
        <v>7000</v>
      </c>
      <c r="J40" s="243"/>
    </row>
    <row r="41" spans="1:13" ht="17.25" customHeight="1" x14ac:dyDescent="0.25">
      <c r="A41" s="1"/>
      <c r="B41" s="253"/>
      <c r="C41" s="73" t="s">
        <v>38</v>
      </c>
      <c r="D41" s="143">
        <v>400</v>
      </c>
      <c r="E41" s="143">
        <v>400</v>
      </c>
      <c r="F41" s="98">
        <f>5.5725</f>
        <v>5.5724999999999998</v>
      </c>
      <c r="G41" s="98">
        <f>310.49256</f>
        <v>310.49256000000003</v>
      </c>
      <c r="H41" s="98">
        <f>E41-G41</f>
        <v>89.507439999999974</v>
      </c>
      <c r="I41" s="98">
        <f>319.81065</f>
        <v>319.81065000000001</v>
      </c>
      <c r="J41" s="243"/>
    </row>
    <row r="42" spans="1:13" ht="17.25" customHeight="1" x14ac:dyDescent="0.25">
      <c r="A42" s="1"/>
      <c r="B42" s="253"/>
      <c r="C42" s="73" t="s">
        <v>130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3"/>
      <c r="M42" s="224"/>
    </row>
    <row r="43" spans="1:13" ht="14.1" customHeight="1" x14ac:dyDescent="0.25">
      <c r="A43" s="1"/>
      <c r="B43" s="253"/>
      <c r="C43" s="73" t="s">
        <v>39</v>
      </c>
      <c r="D43" s="143"/>
      <c r="E43" s="139"/>
      <c r="F43" s="139">
        <f>0</f>
        <v>0</v>
      </c>
      <c r="G43" s="139">
        <f>106.14526</f>
        <v>106.14525999999999</v>
      </c>
      <c r="H43" s="139">
        <f t="shared" ref="H43" si="4">E43-G43</f>
        <v>-106.14525999999999</v>
      </c>
      <c r="I43" s="139">
        <f>57.60549</f>
        <v>57.605490000000003</v>
      </c>
      <c r="J43" s="243"/>
    </row>
    <row r="44" spans="1:13" ht="16.5" customHeight="1" x14ac:dyDescent="0.25">
      <c r="A44" s="1"/>
      <c r="B44" s="253"/>
      <c r="C44" s="74" t="s">
        <v>40</v>
      </c>
      <c r="D44" s="76">
        <f t="shared" ref="D44:I44" si="5">D23+D26+D37+D38+D39+D40+D41+D42+D43</f>
        <v>214967</v>
      </c>
      <c r="E44" s="76">
        <f t="shared" si="5"/>
        <v>219041</v>
      </c>
      <c r="F44" s="76">
        <f t="shared" si="5"/>
        <v>2308.1223099999997</v>
      </c>
      <c r="G44" s="76">
        <f t="shared" si="5"/>
        <v>153891.31708000001</v>
      </c>
      <c r="H44" s="76">
        <f t="shared" si="5"/>
        <v>65149.682920000007</v>
      </c>
      <c r="I44" s="76">
        <f t="shared" si="5"/>
        <v>201981.08028000002</v>
      </c>
      <c r="J44" s="243"/>
    </row>
    <row r="45" spans="1:13" ht="14.1" customHeight="1" x14ac:dyDescent="0.25">
      <c r="A45" s="101"/>
      <c r="B45" s="24"/>
      <c r="C45" s="77" t="s">
        <v>131</v>
      </c>
      <c r="D45" s="257"/>
      <c r="E45" s="257"/>
      <c r="F45" s="80"/>
      <c r="G45" s="80"/>
      <c r="H45" s="227"/>
      <c r="I45" s="227"/>
      <c r="J45" s="81"/>
    </row>
    <row r="46" spans="1:13" ht="14.1" customHeight="1" x14ac:dyDescent="0.25">
      <c r="A46" s="101"/>
      <c r="B46" s="24"/>
      <c r="C46" s="82" t="s">
        <v>41</v>
      </c>
      <c r="D46" s="257"/>
      <c r="E46" s="257"/>
      <c r="F46" s="257"/>
      <c r="G46" s="80"/>
      <c r="H46" s="178"/>
      <c r="I46" s="178"/>
      <c r="J46" s="243"/>
    </row>
    <row r="47" spans="1:13" ht="14.1" customHeight="1" x14ac:dyDescent="0.25">
      <c r="A47" s="101"/>
      <c r="B47" s="24"/>
      <c r="C47" s="161" t="s">
        <v>146</v>
      </c>
      <c r="D47" s="257"/>
      <c r="E47" s="257"/>
      <c r="F47" s="257"/>
      <c r="G47" s="80"/>
      <c r="H47" s="178"/>
      <c r="I47" s="178"/>
      <c r="J47" s="120"/>
    </row>
    <row r="48" spans="1:13" ht="14.1" customHeight="1" x14ac:dyDescent="0.25">
      <c r="A48" s="101"/>
      <c r="B48" s="24"/>
      <c r="C48" s="161" t="s">
        <v>132</v>
      </c>
      <c r="D48" s="257"/>
      <c r="E48" s="257"/>
      <c r="F48" s="257"/>
      <c r="G48" s="257"/>
      <c r="H48" s="178"/>
      <c r="I48" s="178"/>
      <c r="J48" s="120"/>
    </row>
    <row r="49" spans="1:10" ht="14.1" customHeight="1" x14ac:dyDescent="0.25">
      <c r="A49" s="101"/>
      <c r="B49" s="24"/>
      <c r="C49" s="101" t="s">
        <v>42</v>
      </c>
      <c r="D49" s="257"/>
      <c r="E49" s="257"/>
      <c r="F49" s="257"/>
      <c r="G49" s="257"/>
      <c r="H49" s="178"/>
      <c r="I49" s="178"/>
      <c r="J49" s="120"/>
    </row>
    <row r="50" spans="1:10" ht="14.1" customHeight="1" x14ac:dyDescent="0.25">
      <c r="A50" s="101"/>
      <c r="B50" s="24"/>
      <c r="C50" s="101"/>
      <c r="D50" s="257"/>
      <c r="E50" s="257"/>
      <c r="F50" s="257"/>
      <c r="G50" s="257"/>
      <c r="H50" s="178"/>
      <c r="I50" s="178"/>
      <c r="J50" s="120"/>
    </row>
    <row r="51" spans="1:10" ht="20.25" customHeight="1" x14ac:dyDescent="0.25">
      <c r="A51" s="101"/>
      <c r="B51" s="240"/>
      <c r="C51" s="271"/>
      <c r="D51" s="271"/>
      <c r="E51" s="109"/>
      <c r="F51" s="271"/>
      <c r="G51" s="271"/>
      <c r="H51" s="271"/>
      <c r="I51" s="271"/>
      <c r="J51" s="184"/>
    </row>
    <row r="52" spans="1:10" ht="33" customHeight="1" x14ac:dyDescent="0.25">
      <c r="A52" s="101"/>
      <c r="B52" s="24"/>
      <c r="C52" s="294" t="s">
        <v>43</v>
      </c>
      <c r="D52" s="294"/>
      <c r="E52" s="294"/>
      <c r="F52" s="294"/>
      <c r="G52" s="294"/>
      <c r="H52" s="294"/>
      <c r="I52" s="83"/>
      <c r="J52" s="84"/>
    </row>
    <row r="53" spans="1:10" ht="7.5" customHeight="1" x14ac:dyDescent="0.25">
      <c r="A53" s="101"/>
      <c r="B53" s="24"/>
      <c r="C53" s="161"/>
      <c r="D53" s="257"/>
      <c r="E53" s="257"/>
      <c r="F53" s="257"/>
      <c r="G53" s="257"/>
      <c r="H53" s="178"/>
      <c r="I53" s="178"/>
      <c r="J53" s="120"/>
    </row>
    <row r="54" spans="1:10" ht="61.5" customHeight="1" x14ac:dyDescent="0.25">
      <c r="A54" s="101"/>
      <c r="B54" s="24"/>
      <c r="C54" s="86" t="s">
        <v>16</v>
      </c>
      <c r="D54" s="68" t="s">
        <v>44</v>
      </c>
      <c r="E54" s="68" t="s">
        <v>147</v>
      </c>
      <c r="F54" s="68" t="s">
        <v>148</v>
      </c>
      <c r="G54" s="68" t="s">
        <v>149</v>
      </c>
      <c r="H54" s="68" t="s">
        <v>150</v>
      </c>
      <c r="I54" s="257"/>
      <c r="J54" s="243"/>
    </row>
    <row r="55" spans="1:10" ht="14.1" customHeight="1" x14ac:dyDescent="0.25">
      <c r="A55" s="101"/>
      <c r="B55" s="24"/>
      <c r="C55" s="16" t="s">
        <v>45</v>
      </c>
      <c r="D55" s="295">
        <v>7872</v>
      </c>
      <c r="E55" s="11">
        <f>E59+E58+E57+E56</f>
        <v>0</v>
      </c>
      <c r="F55" s="11">
        <f>F59+F58+F57+F56</f>
        <v>0</v>
      </c>
      <c r="G55" s="295">
        <f>D55-F55</f>
        <v>7872</v>
      </c>
      <c r="H55" s="11">
        <f>H59+H58+H57+H56</f>
        <v>0</v>
      </c>
      <c r="I55" s="257"/>
      <c r="J55" s="243"/>
    </row>
    <row r="56" spans="1:10" ht="14.1" customHeight="1" x14ac:dyDescent="0.25">
      <c r="A56" s="101"/>
      <c r="B56" s="24"/>
      <c r="C56" s="62" t="s">
        <v>24</v>
      </c>
      <c r="D56" s="296"/>
      <c r="E56" s="127"/>
      <c r="F56" s="127"/>
      <c r="G56" s="296"/>
      <c r="H56" s="127"/>
      <c r="I56" s="257"/>
      <c r="J56" s="243"/>
    </row>
    <row r="57" spans="1:10" ht="14.1" customHeight="1" x14ac:dyDescent="0.25">
      <c r="A57" s="101"/>
      <c r="B57" s="24"/>
      <c r="C57" s="62" t="s">
        <v>25</v>
      </c>
      <c r="D57" s="296"/>
      <c r="E57" s="127"/>
      <c r="F57" s="127"/>
      <c r="G57" s="296"/>
      <c r="H57" s="127"/>
      <c r="I57" s="257"/>
      <c r="J57" s="243"/>
    </row>
    <row r="58" spans="1:10" ht="14.1" customHeight="1" x14ac:dyDescent="0.25">
      <c r="A58" s="101"/>
      <c r="B58" s="24"/>
      <c r="C58" s="62" t="s">
        <v>26</v>
      </c>
      <c r="D58" s="296"/>
      <c r="E58" s="127"/>
      <c r="F58" s="127"/>
      <c r="G58" s="296"/>
      <c r="H58" s="127"/>
      <c r="I58" s="257"/>
      <c r="J58" s="243"/>
    </row>
    <row r="59" spans="1:10" ht="14.1" customHeight="1" x14ac:dyDescent="0.25">
      <c r="A59" s="101"/>
      <c r="B59" s="24"/>
      <c r="C59" s="87" t="s">
        <v>27</v>
      </c>
      <c r="D59" s="297"/>
      <c r="E59" s="192"/>
      <c r="F59" s="192"/>
      <c r="G59" s="297"/>
      <c r="H59" s="192"/>
      <c r="I59" s="257"/>
      <c r="J59" s="243"/>
    </row>
    <row r="60" spans="1:10" ht="14.1" customHeight="1" x14ac:dyDescent="0.25">
      <c r="A60" s="101"/>
      <c r="B60" s="24"/>
      <c r="C60" s="88" t="s">
        <v>46</v>
      </c>
      <c r="D60" s="95">
        <v>960</v>
      </c>
      <c r="E60" s="95">
        <v>0</v>
      </c>
      <c r="F60" s="95">
        <v>0</v>
      </c>
      <c r="G60" s="95">
        <f>D60-F60</f>
        <v>960</v>
      </c>
      <c r="H60" s="95">
        <v>0</v>
      </c>
      <c r="I60" s="257"/>
      <c r="J60" s="243"/>
    </row>
    <row r="61" spans="1:10" ht="14.1" customHeight="1" x14ac:dyDescent="0.25">
      <c r="A61" s="101"/>
      <c r="B61" s="24"/>
      <c r="C61" s="142" t="s">
        <v>47</v>
      </c>
      <c r="D61" s="139">
        <v>3000</v>
      </c>
      <c r="E61" s="139">
        <v>151</v>
      </c>
      <c r="F61" s="139">
        <v>2279</v>
      </c>
      <c r="G61" s="139">
        <f>D61-F61</f>
        <v>721</v>
      </c>
      <c r="H61" s="139">
        <v>2950</v>
      </c>
      <c r="I61" s="257"/>
      <c r="J61" s="243"/>
    </row>
    <row r="62" spans="1:10" ht="14.1" customHeight="1" x14ac:dyDescent="0.25">
      <c r="A62" s="101"/>
      <c r="B62" s="24"/>
      <c r="C62" s="77" t="s">
        <v>133</v>
      </c>
      <c r="D62" s="257"/>
      <c r="E62" s="257"/>
      <c r="F62" s="257"/>
      <c r="G62" s="257"/>
      <c r="H62" s="178"/>
      <c r="I62" s="178"/>
      <c r="J62" s="120"/>
    </row>
    <row r="63" spans="1:10" ht="14.1" customHeight="1" x14ac:dyDescent="0.25">
      <c r="A63" s="101"/>
      <c r="B63" s="24"/>
      <c r="C63" s="161"/>
      <c r="D63" s="257"/>
      <c r="E63" s="257"/>
      <c r="F63" s="257"/>
      <c r="G63" s="257"/>
      <c r="H63" s="178"/>
      <c r="I63" s="178"/>
      <c r="J63" s="120"/>
    </row>
    <row r="64" spans="1:10" ht="15" customHeight="1" x14ac:dyDescent="0.25">
      <c r="A64" s="101"/>
      <c r="B64" s="24"/>
      <c r="C64" s="161"/>
      <c r="D64" s="257"/>
      <c r="E64" s="257"/>
      <c r="F64" s="257"/>
      <c r="G64" s="257"/>
      <c r="H64" s="178"/>
      <c r="I64" s="178"/>
      <c r="J64" s="120"/>
    </row>
    <row r="65" spans="1:10" ht="12" customHeight="1" x14ac:dyDescent="0.2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7"/>
      <c r="D67" s="119"/>
      <c r="E67" s="119"/>
      <c r="F67" s="119"/>
      <c r="G67" s="119"/>
      <c r="H67" s="1"/>
      <c r="I67" s="1"/>
      <c r="J67" s="1"/>
    </row>
    <row r="68" spans="1:10" x14ac:dyDescent="0.25">
      <c r="B68" s="1" t="s">
        <v>116</v>
      </c>
      <c r="C68" s="287"/>
      <c r="D68" s="119"/>
      <c r="E68" s="119"/>
      <c r="F68" s="119"/>
      <c r="G68" s="119"/>
      <c r="H68" s="1"/>
      <c r="I68" s="1"/>
      <c r="J68" s="1"/>
    </row>
    <row r="71" spans="1:10" ht="0.75" customHeight="1" x14ac:dyDescent="0.25"/>
    <row r="77" spans="1:10" ht="116.25" customHeight="1" x14ac:dyDescent="0.25"/>
    <row r="78" spans="1:10" ht="17.100000000000001" customHeight="1" x14ac:dyDescent="0.25">
      <c r="B78" s="2"/>
      <c r="C78" s="218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8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25">
      <c r="B81" s="52"/>
      <c r="C81" s="298" t="s">
        <v>1</v>
      </c>
      <c r="D81" s="299"/>
      <c r="E81" s="298" t="s">
        <v>2</v>
      </c>
      <c r="F81" s="300"/>
      <c r="G81" s="298" t="s">
        <v>3</v>
      </c>
      <c r="H81" s="299"/>
      <c r="I81" s="178"/>
      <c r="J81" s="243"/>
    </row>
    <row r="82" spans="1:10" ht="15" customHeight="1" x14ac:dyDescent="0.25">
      <c r="B82" s="253"/>
      <c r="C82" s="115" t="s">
        <v>6</v>
      </c>
      <c r="D82" s="117">
        <v>70605</v>
      </c>
      <c r="E82" s="258" t="s">
        <v>4</v>
      </c>
      <c r="F82" s="114">
        <v>26707</v>
      </c>
      <c r="G82" s="191" t="s">
        <v>5</v>
      </c>
      <c r="H82" s="114">
        <v>7843</v>
      </c>
      <c r="I82" s="178"/>
      <c r="J82" s="243"/>
    </row>
    <row r="83" spans="1:10" ht="15" customHeight="1" x14ac:dyDescent="0.25">
      <c r="B83" s="253"/>
      <c r="C83" s="115" t="s">
        <v>9</v>
      </c>
      <c r="D83" s="117">
        <v>61605</v>
      </c>
      <c r="E83" s="247" t="s">
        <v>7</v>
      </c>
      <c r="F83" s="117">
        <v>43575</v>
      </c>
      <c r="G83" s="191" t="s">
        <v>8</v>
      </c>
      <c r="H83" s="117">
        <v>32246</v>
      </c>
      <c r="I83" s="178"/>
      <c r="J83" s="243"/>
    </row>
    <row r="84" spans="1:10" ht="14.1" customHeight="1" x14ac:dyDescent="0.25">
      <c r="B84" s="253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3486</v>
      </c>
      <c r="I84" s="178"/>
      <c r="J84" s="243"/>
    </row>
    <row r="85" spans="1:10" ht="12" customHeight="1" x14ac:dyDescent="0.25">
      <c r="B85" s="253"/>
      <c r="C85" s="177" t="s">
        <v>49</v>
      </c>
      <c r="D85" s="189">
        <f>SUM(D82:D84)</f>
        <v>141000</v>
      </c>
      <c r="E85" s="177" t="s">
        <v>14</v>
      </c>
      <c r="F85" s="189">
        <f>SUM(F82:F84)</f>
        <v>72173</v>
      </c>
      <c r="G85" s="177" t="s">
        <v>7</v>
      </c>
      <c r="H85" s="189">
        <f>SUM(H82:H84)</f>
        <v>43575</v>
      </c>
      <c r="I85" s="178"/>
      <c r="J85" s="243"/>
    </row>
    <row r="86" spans="1:10" ht="14.25" customHeight="1" x14ac:dyDescent="0.25">
      <c r="A86" s="1"/>
      <c r="B86" s="253"/>
      <c r="C86" s="101" t="s">
        <v>143</v>
      </c>
      <c r="D86" s="219"/>
      <c r="E86" s="219"/>
      <c r="F86" s="219"/>
      <c r="G86" s="219"/>
      <c r="H86" s="219"/>
      <c r="I86" s="235"/>
      <c r="J86" s="120"/>
    </row>
    <row r="87" spans="1:10" ht="6" customHeight="1" x14ac:dyDescent="0.25">
      <c r="A87" s="1"/>
      <c r="B87" s="253"/>
      <c r="C87" s="96"/>
      <c r="D87" s="96"/>
      <c r="E87" s="96"/>
      <c r="F87" s="96"/>
      <c r="G87" s="96"/>
      <c r="H87" s="96"/>
      <c r="I87" s="235"/>
      <c r="J87" s="120"/>
    </row>
    <row r="88" spans="1:10" ht="14.1" customHeight="1" x14ac:dyDescent="0.25">
      <c r="A88" s="1"/>
      <c r="B88" s="135"/>
      <c r="C88" s="271"/>
      <c r="D88" s="109"/>
      <c r="E88" s="271"/>
      <c r="F88" s="271"/>
      <c r="G88" s="271"/>
      <c r="H88" s="271"/>
      <c r="I88" s="260"/>
      <c r="J88" s="184"/>
    </row>
    <row r="89" spans="1:10" ht="20.25" customHeight="1" x14ac:dyDescent="0.25">
      <c r="A89" s="1"/>
      <c r="B89" s="253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3">
      <c r="A90" s="1"/>
      <c r="B90" s="253"/>
      <c r="C90" s="289"/>
      <c r="D90" s="289"/>
      <c r="E90" s="289"/>
      <c r="F90" s="289"/>
      <c r="G90" s="289"/>
      <c r="H90" s="289"/>
      <c r="I90" s="289"/>
      <c r="J90" s="19"/>
    </row>
    <row r="91" spans="1:10" ht="54" customHeight="1" x14ac:dyDescent="0.25">
      <c r="A91" s="1"/>
      <c r="B91" s="253"/>
      <c r="C91" s="15" t="s">
        <v>16</v>
      </c>
      <c r="D91" s="113" t="s">
        <v>17</v>
      </c>
      <c r="E91" s="15" t="s">
        <v>50</v>
      </c>
      <c r="F91" s="15" t="s">
        <v>147</v>
      </c>
      <c r="G91" s="15" t="s">
        <v>148</v>
      </c>
      <c r="H91" s="15" t="s">
        <v>149</v>
      </c>
      <c r="I91" s="15" t="s">
        <v>150</v>
      </c>
      <c r="J91" s="120"/>
    </row>
    <row r="92" spans="1:10" ht="14.1" customHeight="1" x14ac:dyDescent="0.25">
      <c r="A92" s="1"/>
      <c r="B92" s="253"/>
      <c r="C92" s="32" t="s">
        <v>19</v>
      </c>
      <c r="D92" s="28">
        <f>D93+D94</f>
        <v>26707</v>
      </c>
      <c r="E92" s="28">
        <f>E94+E93</f>
        <v>25961</v>
      </c>
      <c r="F92" s="11">
        <f t="shared" ref="F92:I92" si="6">F94+F93</f>
        <v>11.516400000000001</v>
      </c>
      <c r="G92" s="11">
        <f t="shared" si="6"/>
        <v>21876.49021</v>
      </c>
      <c r="H92" s="11">
        <f t="shared" si="6"/>
        <v>4084.5097900000014</v>
      </c>
      <c r="I92" s="11">
        <f t="shared" si="6"/>
        <v>37173.601449999995</v>
      </c>
      <c r="J92" s="243"/>
    </row>
    <row r="93" spans="1:10" ht="15" customHeight="1" x14ac:dyDescent="0.25">
      <c r="A93" s="1"/>
      <c r="B93" s="253"/>
      <c r="C93" s="44" t="s">
        <v>20</v>
      </c>
      <c r="D93" s="45">
        <v>25957</v>
      </c>
      <c r="E93" s="45">
        <v>25136</v>
      </c>
      <c r="F93" s="23">
        <f>11.5164</f>
        <v>11.516400000000001</v>
      </c>
      <c r="G93" s="23">
        <f>21122.55276</f>
        <v>21122.552759999999</v>
      </c>
      <c r="H93" s="23">
        <f>E93-G93</f>
        <v>4013.4472400000013</v>
      </c>
      <c r="I93" s="23">
        <f>36688.70851</f>
        <v>36688.708509999997</v>
      </c>
      <c r="J93" s="243"/>
    </row>
    <row r="94" spans="1:10" ht="14.1" customHeight="1" x14ac:dyDescent="0.25">
      <c r="A94" s="1"/>
      <c r="B94" s="253"/>
      <c r="C94" s="64" t="s">
        <v>21</v>
      </c>
      <c r="D94" s="49">
        <v>750</v>
      </c>
      <c r="E94" s="49">
        <v>825</v>
      </c>
      <c r="F94" s="50">
        <f>0</f>
        <v>0</v>
      </c>
      <c r="G94" s="50">
        <f>753.93745</f>
        <v>753.93745000000001</v>
      </c>
      <c r="H94" s="50">
        <f>E94-G94</f>
        <v>71.062549999999987</v>
      </c>
      <c r="I94" s="50">
        <f>484.89294</f>
        <v>484.89294000000001</v>
      </c>
      <c r="J94" s="243"/>
    </row>
    <row r="95" spans="1:10" ht="15.75" customHeight="1" x14ac:dyDescent="0.25">
      <c r="A95" s="1"/>
      <c r="B95" s="52"/>
      <c r="C95" s="16" t="s">
        <v>22</v>
      </c>
      <c r="D95" s="28">
        <f>D96+D101+D102</f>
        <v>44797</v>
      </c>
      <c r="E95" s="28">
        <f>E96+E101+E102</f>
        <v>48994</v>
      </c>
      <c r="F95" s="11">
        <f t="shared" ref="F95:I95" si="7">F96+F101+F102</f>
        <v>1508.1633300000001</v>
      </c>
      <c r="G95" s="11">
        <f t="shared" si="7"/>
        <v>21301.12645</v>
      </c>
      <c r="H95" s="11">
        <f t="shared" si="7"/>
        <v>27692.87355</v>
      </c>
      <c r="I95" s="11">
        <f t="shared" si="7"/>
        <v>14358.71495</v>
      </c>
      <c r="J95" s="243"/>
    </row>
    <row r="96" spans="1:10" ht="14.1" customHeight="1" x14ac:dyDescent="0.25">
      <c r="A96" s="1"/>
      <c r="B96" s="53"/>
      <c r="C96" s="56" t="s">
        <v>23</v>
      </c>
      <c r="D96" s="58">
        <f>D97+D98+D99+D100</f>
        <v>33468</v>
      </c>
      <c r="E96" s="58">
        <f>E100+E99+E98+E97</f>
        <v>37494</v>
      </c>
      <c r="F96" s="132">
        <f t="shared" ref="F96:I96" si="8">F97+F98+F99+F100</f>
        <v>1448.62941</v>
      </c>
      <c r="G96" s="132">
        <f t="shared" si="8"/>
        <v>15782.32187</v>
      </c>
      <c r="H96" s="132">
        <f t="shared" si="8"/>
        <v>21711.67813</v>
      </c>
      <c r="I96" s="132">
        <f t="shared" si="8"/>
        <v>9441.704099999999</v>
      </c>
      <c r="J96" s="243"/>
    </row>
    <row r="97" spans="1:10" ht="14.1" customHeight="1" x14ac:dyDescent="0.25">
      <c r="A97" s="197"/>
      <c r="B97" s="182"/>
      <c r="C97" s="62" t="s">
        <v>24</v>
      </c>
      <c r="D97" s="63">
        <v>8940</v>
      </c>
      <c r="E97" s="63">
        <v>10015</v>
      </c>
      <c r="F97" s="127">
        <f>133.98275</f>
        <v>133.98275000000001</v>
      </c>
      <c r="G97" s="127">
        <f>3435.26262</f>
        <v>3435.26262</v>
      </c>
      <c r="H97" s="127">
        <f t="shared" ref="H97:H104" si="9">E97-G97</f>
        <v>6579.7373800000005</v>
      </c>
      <c r="I97" s="127">
        <f>1937.6226</f>
        <v>1937.6225999999999</v>
      </c>
      <c r="J97" s="243"/>
    </row>
    <row r="98" spans="1:10" ht="14.1" customHeight="1" x14ac:dyDescent="0.25">
      <c r="A98" s="197"/>
      <c r="B98" s="182"/>
      <c r="C98" s="62" t="s">
        <v>51</v>
      </c>
      <c r="D98" s="63">
        <v>9469</v>
      </c>
      <c r="E98" s="63">
        <v>10614</v>
      </c>
      <c r="F98" s="127">
        <f>438.38104</f>
        <v>438.38103999999998</v>
      </c>
      <c r="G98" s="127">
        <f>5338.5482</f>
        <v>5338.5482000000002</v>
      </c>
      <c r="H98" s="127">
        <f t="shared" si="9"/>
        <v>5275.4517999999998</v>
      </c>
      <c r="I98" s="127">
        <f>2834.34485</f>
        <v>2834.34485</v>
      </c>
      <c r="J98" s="243"/>
    </row>
    <row r="99" spans="1:10" ht="14.1" customHeight="1" x14ac:dyDescent="0.25">
      <c r="A99" s="197"/>
      <c r="B99" s="182"/>
      <c r="C99" s="62" t="s">
        <v>52</v>
      </c>
      <c r="D99" s="63">
        <v>9029</v>
      </c>
      <c r="E99" s="63">
        <v>10112</v>
      </c>
      <c r="F99" s="127">
        <f>759.1849</f>
        <v>759.18489999999997</v>
      </c>
      <c r="G99" s="127">
        <f>4560.66741</f>
        <v>4560.66741</v>
      </c>
      <c r="H99" s="127">
        <f t="shared" si="9"/>
        <v>5551.33259</v>
      </c>
      <c r="I99" s="127">
        <f>2321.67723</f>
        <v>2321.6772299999998</v>
      </c>
      <c r="J99" s="243"/>
    </row>
    <row r="100" spans="1:10" ht="14.1" customHeight="1" x14ac:dyDescent="0.25">
      <c r="A100" s="197"/>
      <c r="B100" s="182"/>
      <c r="C100" s="62" t="s">
        <v>27</v>
      </c>
      <c r="D100" s="63">
        <v>6030</v>
      </c>
      <c r="E100" s="63">
        <v>6753</v>
      </c>
      <c r="F100" s="127">
        <f>117.08072</f>
        <v>117.08072</v>
      </c>
      <c r="G100" s="127">
        <f>2447.84364</f>
        <v>2447.8436400000001</v>
      </c>
      <c r="H100" s="127">
        <f t="shared" si="9"/>
        <v>4305.1563599999999</v>
      </c>
      <c r="I100" s="127">
        <f>2348.05942</f>
        <v>2348.05942</v>
      </c>
      <c r="J100" s="243"/>
    </row>
    <row r="101" spans="1:10" ht="14.1" customHeight="1" x14ac:dyDescent="0.25">
      <c r="A101" s="197"/>
      <c r="B101" s="182"/>
      <c r="C101" s="56" t="s">
        <v>53</v>
      </c>
      <c r="D101" s="58">
        <v>7843</v>
      </c>
      <c r="E101" s="58">
        <v>7596</v>
      </c>
      <c r="F101" s="132">
        <f>25.49286</f>
        <v>25.49286</v>
      </c>
      <c r="G101" s="132">
        <f>3947.02821</f>
        <v>3947.0282099999999</v>
      </c>
      <c r="H101" s="132">
        <f t="shared" si="9"/>
        <v>3648.9717900000001</v>
      </c>
      <c r="I101" s="132">
        <f>3823.49135</f>
        <v>3823.4913499999998</v>
      </c>
      <c r="J101" s="243"/>
    </row>
    <row r="102" spans="1:10" ht="15.75" customHeight="1" x14ac:dyDescent="0.25">
      <c r="A102" s="1"/>
      <c r="B102" s="53"/>
      <c r="C102" s="38" t="s">
        <v>11</v>
      </c>
      <c r="D102" s="61">
        <v>3486</v>
      </c>
      <c r="E102" s="61">
        <v>3904</v>
      </c>
      <c r="F102" s="75">
        <f>34.04106</f>
        <v>34.041060000000002</v>
      </c>
      <c r="G102" s="75">
        <f>1571.77637</f>
        <v>1571.77637</v>
      </c>
      <c r="H102" s="75">
        <f t="shared" si="9"/>
        <v>2332.22363</v>
      </c>
      <c r="I102" s="75">
        <f>1093.5195</f>
        <v>1093.5195000000001</v>
      </c>
      <c r="J102" s="243"/>
    </row>
    <row r="103" spans="1:10" ht="15.75" customHeight="1" x14ac:dyDescent="0.25">
      <c r="A103" s="1"/>
      <c r="B103" s="53"/>
      <c r="C103" s="73" t="s">
        <v>34</v>
      </c>
      <c r="D103" s="89">
        <v>319</v>
      </c>
      <c r="E103" s="89">
        <v>319</v>
      </c>
      <c r="F103" s="98">
        <f>0</f>
        <v>0</v>
      </c>
      <c r="G103" s="98">
        <f>35.89738</f>
        <v>35.897379999999998</v>
      </c>
      <c r="H103" s="98">
        <f t="shared" si="9"/>
        <v>283.10262</v>
      </c>
      <c r="I103" s="98">
        <f>11.16397</f>
        <v>11.163970000000001</v>
      </c>
      <c r="J103" s="243"/>
    </row>
    <row r="104" spans="1:10" ht="18" customHeight="1" x14ac:dyDescent="0.25">
      <c r="A104" s="1"/>
      <c r="B104" s="253"/>
      <c r="C104" s="73" t="s">
        <v>54</v>
      </c>
      <c r="D104" s="143">
        <v>300</v>
      </c>
      <c r="E104" s="143">
        <v>300</v>
      </c>
      <c r="F104" s="139">
        <f>1.04151</f>
        <v>1.0415099999999999</v>
      </c>
      <c r="G104" s="139">
        <f>E104</f>
        <v>300</v>
      </c>
      <c r="H104" s="139">
        <f t="shared" si="9"/>
        <v>0</v>
      </c>
      <c r="I104" s="139">
        <f>E104</f>
        <v>300</v>
      </c>
      <c r="J104" s="243"/>
    </row>
    <row r="105" spans="1:10" ht="16.5" customHeight="1" x14ac:dyDescent="0.25">
      <c r="A105" s="1"/>
      <c r="B105" s="253"/>
      <c r="C105" s="93" t="s">
        <v>38</v>
      </c>
      <c r="D105" s="143">
        <v>50</v>
      </c>
      <c r="E105" s="143">
        <v>50</v>
      </c>
      <c r="F105" s="98">
        <f>0.48428</f>
        <v>0.48427999999999999</v>
      </c>
      <c r="G105" s="98">
        <f>19.04552</f>
        <v>19.04552</v>
      </c>
      <c r="H105" s="139">
        <f>E105-G105</f>
        <v>30.95448</v>
      </c>
      <c r="I105" s="98">
        <f>6.45706</f>
        <v>6.4570600000000002</v>
      </c>
      <c r="J105" s="243"/>
    </row>
    <row r="106" spans="1:10" ht="18" customHeight="1" x14ac:dyDescent="0.25">
      <c r="A106" s="1"/>
      <c r="B106" s="253"/>
      <c r="C106" s="93" t="s">
        <v>55</v>
      </c>
      <c r="D106" s="143"/>
      <c r="E106" s="139"/>
      <c r="F106" s="139">
        <f>0</f>
        <v>0</v>
      </c>
      <c r="G106" s="139">
        <f>16.02412</f>
        <v>16.02412</v>
      </c>
      <c r="H106" s="139">
        <f t="shared" ref="H106" si="10">E106-G106</f>
        <v>-16.02412</v>
      </c>
      <c r="I106" s="139">
        <f>23.28016</f>
        <v>23.280159999999999</v>
      </c>
      <c r="J106" s="243"/>
    </row>
    <row r="107" spans="1:10" ht="16.5" customHeight="1" x14ac:dyDescent="0.25">
      <c r="A107" s="1"/>
      <c r="B107" s="253"/>
      <c r="C107" s="74" t="s">
        <v>40</v>
      </c>
      <c r="D107" s="76">
        <f>D92+D95+D103+D104+D105+D106</f>
        <v>72173</v>
      </c>
      <c r="E107" s="76">
        <f t="shared" ref="E107" si="11">E92+E95+E103+E104+E105+E106</f>
        <v>75624</v>
      </c>
      <c r="F107" s="76">
        <f t="shared" ref="F107:I107" si="12">F92+F95+F103+F104+F105+F106</f>
        <v>1521.20552</v>
      </c>
      <c r="G107" s="76">
        <f t="shared" si="12"/>
        <v>43548.583680000003</v>
      </c>
      <c r="H107" s="76">
        <f t="shared" si="12"/>
        <v>32075.416320000004</v>
      </c>
      <c r="I107" s="76">
        <f t="shared" si="12"/>
        <v>51873.21759</v>
      </c>
      <c r="J107" s="243"/>
    </row>
    <row r="108" spans="1:10" ht="13.5" customHeight="1" x14ac:dyDescent="0.25">
      <c r="A108" s="1"/>
      <c r="B108" s="253"/>
      <c r="C108" s="77" t="s">
        <v>134</v>
      </c>
      <c r="D108" s="100"/>
      <c r="E108" s="100"/>
      <c r="F108" s="102"/>
      <c r="G108" s="102"/>
      <c r="H108" s="104"/>
      <c r="I108" s="227"/>
      <c r="J108" s="243"/>
    </row>
    <row r="109" spans="1:10" ht="13.5" customHeight="1" x14ac:dyDescent="0.25">
      <c r="A109" s="1"/>
      <c r="B109" s="24"/>
      <c r="C109" s="161" t="s">
        <v>144</v>
      </c>
      <c r="D109" s="257"/>
      <c r="E109" s="257"/>
      <c r="F109" s="80"/>
      <c r="G109" s="80"/>
      <c r="H109" s="227"/>
      <c r="I109" s="227"/>
      <c r="J109" s="105"/>
    </row>
    <row r="110" spans="1:10" ht="15" customHeight="1" x14ac:dyDescent="0.25">
      <c r="A110" s="1"/>
      <c r="B110" s="24"/>
      <c r="C110" s="161" t="s">
        <v>135</v>
      </c>
      <c r="D110" s="257"/>
      <c r="E110" s="257"/>
      <c r="F110" s="80"/>
      <c r="G110" s="80"/>
      <c r="H110" s="227"/>
      <c r="I110" s="227"/>
      <c r="J110" s="105"/>
    </row>
    <row r="111" spans="1:10" ht="15" customHeight="1" x14ac:dyDescent="0.25">
      <c r="A111" s="1"/>
      <c r="B111" s="24"/>
      <c r="C111" s="227" t="s">
        <v>56</v>
      </c>
      <c r="D111" s="257"/>
      <c r="E111" s="257"/>
      <c r="F111" s="80"/>
      <c r="G111" s="80"/>
      <c r="H111" s="227"/>
      <c r="I111" s="227"/>
      <c r="J111" s="105"/>
    </row>
    <row r="112" spans="1:10" ht="12" customHeight="1" x14ac:dyDescent="0.2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25">
      <c r="A113" s="1"/>
      <c r="B113" s="101"/>
      <c r="C113" s="1" t="s">
        <v>116</v>
      </c>
      <c r="D113" s="227"/>
      <c r="E113" s="227"/>
      <c r="F113" s="227"/>
      <c r="G113" s="227"/>
      <c r="H113" s="227"/>
      <c r="I113" s="101"/>
      <c r="J113" s="101" t="s">
        <v>116</v>
      </c>
    </row>
    <row r="114" spans="1:10" ht="14.25" customHeight="1" x14ac:dyDescent="0.25">
      <c r="A114" s="1"/>
      <c r="B114" s="101"/>
      <c r="C114" s="101" t="s">
        <v>116</v>
      </c>
      <c r="D114" s="101" t="s">
        <v>116</v>
      </c>
      <c r="E114" s="101"/>
      <c r="F114" s="101"/>
      <c r="G114" s="101"/>
      <c r="H114" s="101"/>
      <c r="I114" s="101"/>
      <c r="J114" s="101" t="s">
        <v>116</v>
      </c>
    </row>
    <row r="115" spans="1:10" ht="17.100000000000001" customHeight="1" x14ac:dyDescent="0.25">
      <c r="A115" s="217"/>
      <c r="B115" s="217"/>
      <c r="C115" s="218" t="s">
        <v>57</v>
      </c>
      <c r="D115" s="217"/>
      <c r="E115" s="217"/>
      <c r="F115" s="217"/>
      <c r="G115" s="217"/>
      <c r="H115" s="217"/>
      <c r="I115" s="217"/>
      <c r="J115" s="217"/>
    </row>
    <row r="116" spans="1:10" ht="3" customHeight="1" x14ac:dyDescent="0.25">
      <c r="A116" s="217"/>
      <c r="B116" s="217"/>
      <c r="C116" s="218"/>
      <c r="D116" s="217"/>
      <c r="E116" s="217"/>
      <c r="F116" s="217"/>
      <c r="G116" s="217"/>
      <c r="H116" s="217"/>
      <c r="I116" s="217"/>
      <c r="J116" s="217"/>
    </row>
    <row r="117" spans="1:10" ht="14.1" customHeight="1" x14ac:dyDescent="0.2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2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3"/>
    </row>
    <row r="119" spans="1:10" ht="14.1" customHeight="1" x14ac:dyDescent="0.25">
      <c r="A119" s="1"/>
      <c r="B119" s="253"/>
      <c r="C119" s="115" t="s">
        <v>6</v>
      </c>
      <c r="D119" s="114">
        <v>209323</v>
      </c>
      <c r="E119" s="99" t="s">
        <v>4</v>
      </c>
      <c r="F119" s="114">
        <v>75860</v>
      </c>
      <c r="G119" s="115" t="s">
        <v>5</v>
      </c>
      <c r="H119" s="114">
        <v>8570</v>
      </c>
      <c r="I119" s="178"/>
      <c r="J119" s="243"/>
    </row>
    <row r="120" spans="1:10" ht="14.1" customHeight="1" x14ac:dyDescent="0.25">
      <c r="A120" s="1"/>
      <c r="B120" s="253"/>
      <c r="C120" s="115" t="s">
        <v>9</v>
      </c>
      <c r="D120" s="117">
        <v>12100</v>
      </c>
      <c r="E120" s="115" t="s">
        <v>7</v>
      </c>
      <c r="F120" s="117">
        <v>77910</v>
      </c>
      <c r="G120" s="115" t="s">
        <v>8</v>
      </c>
      <c r="H120" s="117">
        <v>58433</v>
      </c>
      <c r="I120" s="178"/>
      <c r="J120" s="243"/>
    </row>
    <row r="121" spans="1:10" ht="14.1" customHeight="1" x14ac:dyDescent="0.25">
      <c r="A121" s="1"/>
      <c r="B121" s="253"/>
      <c r="C121" s="247" t="s">
        <v>58</v>
      </c>
      <c r="D121" s="117">
        <v>1700</v>
      </c>
      <c r="E121" s="115" t="s">
        <v>59</v>
      </c>
      <c r="F121" s="117">
        <v>51257</v>
      </c>
      <c r="G121" s="115" t="s">
        <v>11</v>
      </c>
      <c r="H121" s="117">
        <v>11114</v>
      </c>
      <c r="I121" s="178"/>
      <c r="J121" s="243"/>
    </row>
    <row r="122" spans="1:10" ht="14.1" customHeight="1" x14ac:dyDescent="0.25">
      <c r="A122" s="1"/>
      <c r="B122" s="153"/>
      <c r="C122" s="165"/>
      <c r="D122" s="191"/>
      <c r="E122" s="191" t="s">
        <v>60</v>
      </c>
      <c r="F122" s="117">
        <v>4296</v>
      </c>
      <c r="G122" s="115"/>
      <c r="H122" s="165"/>
      <c r="I122" s="178"/>
      <c r="J122" s="243"/>
    </row>
    <row r="123" spans="1:10" ht="12" customHeight="1" x14ac:dyDescent="0.25">
      <c r="A123" s="1"/>
      <c r="B123" s="253"/>
      <c r="C123" s="177" t="s">
        <v>49</v>
      </c>
      <c r="D123" s="213">
        <v>223123</v>
      </c>
      <c r="E123" s="112" t="s">
        <v>14</v>
      </c>
      <c r="F123" s="189">
        <v>209323</v>
      </c>
      <c r="G123" s="177" t="s">
        <v>7</v>
      </c>
      <c r="H123" s="189">
        <v>77910</v>
      </c>
      <c r="I123" s="178"/>
      <c r="J123" s="243"/>
    </row>
    <row r="124" spans="1:10" ht="12" customHeight="1" x14ac:dyDescent="0.25">
      <c r="A124" s="101"/>
      <c r="B124" s="24"/>
      <c r="C124" s="101" t="s">
        <v>117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40"/>
      <c r="C125" s="271"/>
      <c r="D125" s="271"/>
      <c r="E125" s="232"/>
      <c r="F125" s="232"/>
      <c r="G125" s="232"/>
      <c r="H125" s="232"/>
      <c r="I125" s="232"/>
      <c r="J125" s="244"/>
    </row>
    <row r="126" spans="1:10" ht="25.5" customHeight="1" x14ac:dyDescent="0.25">
      <c r="A126" s="1"/>
      <c r="B126" s="253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25">
      <c r="A127" s="156"/>
      <c r="B127" s="52"/>
      <c r="C127" s="263" t="s">
        <v>16</v>
      </c>
      <c r="D127" s="15" t="s">
        <v>17</v>
      </c>
      <c r="E127" s="15" t="s">
        <v>61</v>
      </c>
      <c r="F127" s="15" t="s">
        <v>147</v>
      </c>
      <c r="G127" s="15" t="s">
        <v>148</v>
      </c>
      <c r="H127" s="15" t="s">
        <v>149</v>
      </c>
      <c r="I127" s="15" t="s">
        <v>150</v>
      </c>
      <c r="J127" s="279"/>
    </row>
    <row r="128" spans="1:10" ht="14.1" customHeight="1" x14ac:dyDescent="0.25">
      <c r="A128" s="1"/>
      <c r="B128" s="253"/>
      <c r="C128" s="16" t="s">
        <v>62</v>
      </c>
      <c r="D128" s="28">
        <f>D129+D130+D131</f>
        <v>75860</v>
      </c>
      <c r="E128" s="28">
        <f>E129+E130+E131</f>
        <v>72307</v>
      </c>
      <c r="F128" s="11">
        <f t="shared" ref="F128:I128" si="13">F129+F130+F131</f>
        <v>356.90625</v>
      </c>
      <c r="G128" s="11">
        <f t="shared" si="13"/>
        <v>34814.882154999999</v>
      </c>
      <c r="H128" s="11">
        <f t="shared" si="13"/>
        <v>37492.117845000001</v>
      </c>
      <c r="I128" s="11">
        <f t="shared" si="13"/>
        <v>31099.68075</v>
      </c>
      <c r="J128" s="243"/>
    </row>
    <row r="129" spans="1:10" ht="14.1" customHeight="1" x14ac:dyDescent="0.25">
      <c r="A129" s="1"/>
      <c r="B129" s="253"/>
      <c r="C129" s="44" t="s">
        <v>20</v>
      </c>
      <c r="D129" s="45">
        <v>60688</v>
      </c>
      <c r="E129" s="45">
        <v>57562</v>
      </c>
      <c r="F129" s="23">
        <f>356.90625</f>
        <v>356.90625</v>
      </c>
      <c r="G129" s="23">
        <f>28994.30701</f>
        <v>28994.30701</v>
      </c>
      <c r="H129" s="23">
        <f>E129-G129</f>
        <v>28567.69299</v>
      </c>
      <c r="I129" s="23">
        <f>26606.44232</f>
        <v>26606.442319999998</v>
      </c>
      <c r="J129" s="243"/>
    </row>
    <row r="130" spans="1:10" ht="15" customHeight="1" x14ac:dyDescent="0.25">
      <c r="A130" s="1"/>
      <c r="B130" s="253"/>
      <c r="C130" s="44" t="s">
        <v>21</v>
      </c>
      <c r="D130" s="45">
        <v>14672</v>
      </c>
      <c r="E130" s="45">
        <v>14245</v>
      </c>
      <c r="F130" s="23">
        <f>0</f>
        <v>0</v>
      </c>
      <c r="G130" s="23">
        <f>4026.6022</f>
        <v>4026.6021999999998</v>
      </c>
      <c r="H130" s="23">
        <f>E130-G130</f>
        <v>10218.397800000001</v>
      </c>
      <c r="I130" s="23">
        <f>4377.93218</f>
        <v>4377.9321799999998</v>
      </c>
      <c r="J130" s="243"/>
    </row>
    <row r="131" spans="1:10" ht="13.5" customHeight="1" x14ac:dyDescent="0.25">
      <c r="A131" s="1"/>
      <c r="B131" s="253"/>
      <c r="C131" s="48" t="s">
        <v>63</v>
      </c>
      <c r="D131" s="33">
        <v>500</v>
      </c>
      <c r="E131" s="33">
        <v>500</v>
      </c>
      <c r="F131" s="23">
        <f>0</f>
        <v>0</v>
      </c>
      <c r="G131" s="23">
        <f>65.45015+1728.522795</f>
        <v>1793.972945</v>
      </c>
      <c r="H131" s="55">
        <f>E131-G131</f>
        <v>-1293.972945</v>
      </c>
      <c r="I131" s="23">
        <f>115.30625</f>
        <v>115.30625000000001</v>
      </c>
      <c r="J131" s="243"/>
    </row>
    <row r="132" spans="1:10" ht="14.25" customHeight="1" x14ac:dyDescent="0.25">
      <c r="A132" s="67"/>
      <c r="B132" s="78"/>
      <c r="C132" s="88" t="s">
        <v>64</v>
      </c>
      <c r="D132" s="91">
        <v>51257</v>
      </c>
      <c r="E132" s="91">
        <v>52496</v>
      </c>
      <c r="F132" s="95">
        <f>182.401</f>
        <v>182.40100000000001</v>
      </c>
      <c r="G132" s="95">
        <f>311.4724</f>
        <v>311.47239999999999</v>
      </c>
      <c r="H132" s="95">
        <f>E132-G132</f>
        <v>52184.527600000001</v>
      </c>
      <c r="I132" s="95">
        <f>2825.69453</f>
        <v>2825.6945300000002</v>
      </c>
      <c r="J132" s="116"/>
    </row>
    <row r="133" spans="1:10" ht="15.75" customHeight="1" x14ac:dyDescent="0.25">
      <c r="A133" s="1"/>
      <c r="B133" s="253"/>
      <c r="C133" s="142" t="s">
        <v>22</v>
      </c>
      <c r="D133" s="143">
        <f>D134+D139+D142</f>
        <v>79534</v>
      </c>
      <c r="E133" s="143">
        <f>E134+E139+E142</f>
        <v>80165</v>
      </c>
      <c r="F133" s="94">
        <f>F134+F139+F142</f>
        <v>783.19713000000002</v>
      </c>
      <c r="G133" s="94">
        <f t="shared" ref="G133" si="14">G134+G139+G142</f>
        <v>42554.338205000007</v>
      </c>
      <c r="H133" s="94">
        <f>H134+H139+H142</f>
        <v>37610.661794999993</v>
      </c>
      <c r="I133" s="94">
        <f>I134+I139+I142</f>
        <v>42048.14314</v>
      </c>
      <c r="J133" s="120"/>
    </row>
    <row r="134" spans="1:10" ht="14.1" customHeight="1" x14ac:dyDescent="0.2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59079</v>
      </c>
      <c r="F134" s="125">
        <f>F135+F136+F137+F138</f>
        <v>663.32556999999997</v>
      </c>
      <c r="G134" s="125">
        <f>G135+G136+G138+G137</f>
        <v>31903.281865000004</v>
      </c>
      <c r="H134" s="125">
        <f>H135+H136+H137+H138</f>
        <v>27175.718134999996</v>
      </c>
      <c r="I134" s="125">
        <f>I135+I136+I137+I138</f>
        <v>33682.402529999999</v>
      </c>
      <c r="J134" s="279"/>
    </row>
    <row r="135" spans="1:10" ht="14.1" customHeight="1" x14ac:dyDescent="0.25">
      <c r="A135" s="197"/>
      <c r="B135" s="126"/>
      <c r="C135" s="62" t="s">
        <v>24</v>
      </c>
      <c r="D135" s="63">
        <v>15960</v>
      </c>
      <c r="E135" s="63">
        <v>17774</v>
      </c>
      <c r="F135" s="127">
        <f>142.67358</f>
        <v>142.67357999999999</v>
      </c>
      <c r="G135" s="127">
        <v>6113.3132699999996</v>
      </c>
      <c r="H135" s="127">
        <f>E135-G135</f>
        <v>11660.686730000001</v>
      </c>
      <c r="I135" s="127">
        <f>5251.63278</f>
        <v>5251.6327799999999</v>
      </c>
      <c r="J135" s="128"/>
    </row>
    <row r="136" spans="1:10" ht="14.1" customHeight="1" x14ac:dyDescent="0.25">
      <c r="A136" s="197"/>
      <c r="B136" s="182"/>
      <c r="C136" s="62" t="s">
        <v>51</v>
      </c>
      <c r="D136" s="63">
        <v>16404</v>
      </c>
      <c r="E136" s="63">
        <v>14939</v>
      </c>
      <c r="F136" s="127">
        <f>134.59016</f>
        <v>134.59016</v>
      </c>
      <c r="G136" s="127">
        <v>9984.2409150000003</v>
      </c>
      <c r="H136" s="127">
        <f>E136-G136</f>
        <v>4954.7590849999997</v>
      </c>
      <c r="I136" s="127">
        <f>9582.06055</f>
        <v>9582.0605500000001</v>
      </c>
      <c r="J136" s="129"/>
    </row>
    <row r="137" spans="1:10" ht="14.1" customHeight="1" x14ac:dyDescent="0.25">
      <c r="A137" s="197"/>
      <c r="B137" s="182"/>
      <c r="C137" s="62" t="s">
        <v>52</v>
      </c>
      <c r="D137" s="63">
        <v>14385</v>
      </c>
      <c r="E137" s="63">
        <v>13051</v>
      </c>
      <c r="F137" s="127">
        <f>202.94943</f>
        <v>202.94943000000001</v>
      </c>
      <c r="G137" s="127">
        <v>8287.0825800000002</v>
      </c>
      <c r="H137" s="127">
        <f>E137-G137</f>
        <v>4763.9174199999998</v>
      </c>
      <c r="I137" s="127">
        <f>8931.96203</f>
        <v>8931.9620300000006</v>
      </c>
      <c r="J137" s="129"/>
    </row>
    <row r="138" spans="1:10" ht="14.1" customHeight="1" x14ac:dyDescent="0.25">
      <c r="A138" s="197"/>
      <c r="B138" s="182"/>
      <c r="C138" s="62" t="s">
        <v>27</v>
      </c>
      <c r="D138" s="63">
        <v>13308</v>
      </c>
      <c r="E138" s="63">
        <v>13315</v>
      </c>
      <c r="F138" s="127">
        <f>183.1124</f>
        <v>183.11240000000001</v>
      </c>
      <c r="G138" s="127">
        <v>7518.6451000000006</v>
      </c>
      <c r="H138" s="127">
        <f>E138-G138</f>
        <v>5796.3548999999994</v>
      </c>
      <c r="I138" s="127">
        <f>9916.74717</f>
        <v>9916.7471700000006</v>
      </c>
      <c r="J138" s="129"/>
    </row>
    <row r="139" spans="1:10" ht="14.1" customHeight="1" x14ac:dyDescent="0.25">
      <c r="A139" s="66"/>
      <c r="B139" s="53"/>
      <c r="C139" s="56" t="s">
        <v>29</v>
      </c>
      <c r="D139" s="58">
        <f>D140+D141</f>
        <v>8570</v>
      </c>
      <c r="E139" s="58">
        <f>E140+E141</f>
        <v>8930</v>
      </c>
      <c r="F139" s="132">
        <f>SUM(F140:F141)</f>
        <v>2.7612000000000001</v>
      </c>
      <c r="G139" s="132">
        <f>SUM(G140:G141)</f>
        <v>7744.2563</v>
      </c>
      <c r="H139" s="132">
        <f>H140+H141</f>
        <v>1185.7437000000004</v>
      </c>
      <c r="I139" s="132">
        <f>SUM(I140:I141)</f>
        <v>5673.5533000000005</v>
      </c>
      <c r="J139" s="133"/>
    </row>
    <row r="140" spans="1:10" ht="14.1" customHeight="1" x14ac:dyDescent="0.25">
      <c r="A140" s="1"/>
      <c r="B140" s="253"/>
      <c r="C140" s="62" t="s">
        <v>66</v>
      </c>
      <c r="D140" s="63">
        <v>8070</v>
      </c>
      <c r="E140" s="63">
        <v>8430</v>
      </c>
      <c r="F140" s="127">
        <f>2.7564</f>
        <v>2.7564000000000002</v>
      </c>
      <c r="G140" s="127">
        <f>7545.02014</f>
        <v>7545.0201399999996</v>
      </c>
      <c r="H140" s="127">
        <f t="shared" ref="H140:H148" si="15">E140-G140</f>
        <v>884.97986000000037</v>
      </c>
      <c r="I140" s="127">
        <f>5552.12167</f>
        <v>5552.1216700000004</v>
      </c>
      <c r="J140" s="120"/>
    </row>
    <row r="141" spans="1:10" ht="15" customHeight="1" x14ac:dyDescent="0.25">
      <c r="A141" s="1"/>
      <c r="B141" s="53"/>
      <c r="C141" s="62" t="s">
        <v>67</v>
      </c>
      <c r="D141" s="63">
        <v>500</v>
      </c>
      <c r="E141" s="63">
        <v>500</v>
      </c>
      <c r="F141" s="127">
        <f>0.0048</f>
        <v>4.7999999999999996E-3</v>
      </c>
      <c r="G141" s="127">
        <f>199.23616</f>
        <v>199.23616000000001</v>
      </c>
      <c r="H141" s="127">
        <f t="shared" si="15"/>
        <v>300.76383999999996</v>
      </c>
      <c r="I141" s="127">
        <f>121.43163</f>
        <v>121.43163</v>
      </c>
      <c r="J141" s="134"/>
    </row>
    <row r="142" spans="1:10" ht="15.75" customHeight="1" x14ac:dyDescent="0.25">
      <c r="A142" s="1"/>
      <c r="B142" s="253"/>
      <c r="C142" s="38" t="s">
        <v>11</v>
      </c>
      <c r="D142" s="61">
        <v>10907</v>
      </c>
      <c r="E142" s="61">
        <v>12156</v>
      </c>
      <c r="F142" s="75">
        <f>117.11036</f>
        <v>117.11036</v>
      </c>
      <c r="G142" s="75">
        <f>2906.80004</f>
        <v>2906.8000400000001</v>
      </c>
      <c r="H142" s="75">
        <f t="shared" si="15"/>
        <v>9249.1999599999999</v>
      </c>
      <c r="I142" s="75">
        <f>2692.18731</f>
        <v>2692.1873099999998</v>
      </c>
      <c r="J142" s="120"/>
    </row>
    <row r="143" spans="1:10" ht="15.75" customHeight="1" x14ac:dyDescent="0.25">
      <c r="A143" s="1"/>
      <c r="B143" s="253"/>
      <c r="C143" s="142" t="s">
        <v>34</v>
      </c>
      <c r="D143" s="143">
        <v>146</v>
      </c>
      <c r="E143" s="143">
        <v>146</v>
      </c>
      <c r="F143" s="139">
        <f>0.0162</f>
        <v>1.6199999999999999E-2</v>
      </c>
      <c r="G143" s="139">
        <f>15.58905</f>
        <v>15.58905</v>
      </c>
      <c r="H143" s="139">
        <f t="shared" si="15"/>
        <v>130.41095000000001</v>
      </c>
      <c r="I143" s="139">
        <f>21.30929</f>
        <v>21.309290000000001</v>
      </c>
      <c r="J143" s="120"/>
    </row>
    <row r="144" spans="1:10" ht="15.75" customHeight="1" x14ac:dyDescent="0.25">
      <c r="A144" s="1"/>
      <c r="B144" s="253"/>
      <c r="C144" s="140" t="s">
        <v>68</v>
      </c>
      <c r="D144" s="89">
        <v>250</v>
      </c>
      <c r="E144" s="89">
        <v>250</v>
      </c>
      <c r="F144" s="98">
        <f>0</f>
        <v>0</v>
      </c>
      <c r="G144" s="98">
        <f>0</f>
        <v>0</v>
      </c>
      <c r="H144" s="98">
        <f t="shared" si="15"/>
        <v>250</v>
      </c>
      <c r="I144" s="98">
        <f>0</f>
        <v>0</v>
      </c>
      <c r="J144" s="120"/>
    </row>
    <row r="145" spans="1:10" ht="18" customHeight="1" x14ac:dyDescent="0.25">
      <c r="A145" s="1"/>
      <c r="B145" s="253"/>
      <c r="C145" s="140" t="s">
        <v>69</v>
      </c>
      <c r="D145" s="143">
        <v>2000</v>
      </c>
      <c r="E145" s="143">
        <v>2000</v>
      </c>
      <c r="F145" s="139">
        <f>7.38819</f>
        <v>7.3881899999999998</v>
      </c>
      <c r="G145" s="139">
        <f>E145</f>
        <v>2000</v>
      </c>
      <c r="H145" s="139">
        <f t="shared" si="15"/>
        <v>0</v>
      </c>
      <c r="I145" s="139">
        <f>E145</f>
        <v>2000</v>
      </c>
      <c r="J145" s="243"/>
    </row>
    <row r="146" spans="1:10" ht="15.75" customHeight="1" x14ac:dyDescent="0.25">
      <c r="A146" s="1"/>
      <c r="B146" s="253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25">
      <c r="A147" s="1"/>
      <c r="B147" s="253"/>
      <c r="C147" s="142" t="s">
        <v>70</v>
      </c>
      <c r="D147" s="143">
        <v>276</v>
      </c>
      <c r="E147" s="143">
        <v>276</v>
      </c>
      <c r="F147" s="98">
        <f>1.1166</f>
        <v>1.1166</v>
      </c>
      <c r="G147" s="98">
        <f>36.40483</f>
        <v>36.404829999999997</v>
      </c>
      <c r="H147" s="139">
        <f t="shared" si="15"/>
        <v>239.59517</v>
      </c>
      <c r="I147" s="98">
        <f>26.22638</f>
        <v>26.226379999999999</v>
      </c>
      <c r="J147" s="120"/>
    </row>
    <row r="148" spans="1:10" ht="15" customHeight="1" x14ac:dyDescent="0.25">
      <c r="A148" s="1"/>
      <c r="B148" s="253"/>
      <c r="C148" s="142" t="s">
        <v>39</v>
      </c>
      <c r="D148" s="145"/>
      <c r="E148" s="143"/>
      <c r="F148" s="139">
        <f>0</f>
        <v>0</v>
      </c>
      <c r="G148" s="139">
        <f>109.98109</f>
        <v>109.98108999999999</v>
      </c>
      <c r="H148" s="139">
        <f t="shared" si="15"/>
        <v>-109.98108999999999</v>
      </c>
      <c r="I148" s="139">
        <f>86.5963</f>
        <v>86.596299999999999</v>
      </c>
      <c r="J148" s="120"/>
    </row>
    <row r="149" spans="1:10" ht="0" hidden="1" customHeight="1" x14ac:dyDescent="0.2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2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207640</v>
      </c>
      <c r="F150" s="76">
        <f>F128+F132+F133+F143+F144+F145+F146+F147+F148</f>
        <v>1331.0253700000001</v>
      </c>
      <c r="G150" s="76">
        <f>G128+G132+G133+G143+G144+G145+G146+G147+G148</f>
        <v>79842.667730000001</v>
      </c>
      <c r="H150" s="76">
        <f>H128+H132+H133+H143+H144+H145+H146+H147+H148</f>
        <v>127797.33227</v>
      </c>
      <c r="I150" s="76">
        <f>I128+I132+I133+I143+I144+I145+I146+I147+I148</f>
        <v>78107.65039000001</v>
      </c>
      <c r="J150" s="160"/>
    </row>
    <row r="151" spans="1:10" ht="14.25" customHeight="1" x14ac:dyDescent="0.2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25">
      <c r="A152" s="156"/>
      <c r="B152" s="52"/>
      <c r="C152" s="101" t="s">
        <v>136</v>
      </c>
      <c r="D152" s="119"/>
      <c r="E152" s="119"/>
      <c r="F152" s="119"/>
      <c r="G152" s="119"/>
      <c r="H152" s="163"/>
      <c r="I152" s="156"/>
      <c r="J152" s="279"/>
    </row>
    <row r="153" spans="1:10" ht="14.25" customHeight="1" x14ac:dyDescent="0.25">
      <c r="A153" s="156"/>
      <c r="B153" s="52"/>
      <c r="C153" s="161" t="s">
        <v>151</v>
      </c>
      <c r="D153" s="119"/>
      <c r="E153" s="119"/>
      <c r="F153" s="119"/>
      <c r="G153" s="119"/>
      <c r="H153" s="163"/>
      <c r="I153" s="156"/>
      <c r="J153" s="279"/>
    </row>
    <row r="154" spans="1:10" ht="14.25" customHeight="1" x14ac:dyDescent="0.25">
      <c r="A154" s="156"/>
      <c r="B154" s="52"/>
      <c r="C154" s="77" t="s">
        <v>145</v>
      </c>
      <c r="D154" s="119"/>
      <c r="E154" s="119"/>
      <c r="F154" s="119"/>
      <c r="G154" s="119"/>
      <c r="H154" s="163"/>
      <c r="I154" s="163"/>
      <c r="J154" s="279"/>
    </row>
    <row r="155" spans="1:10" ht="15.75" customHeight="1" x14ac:dyDescent="0.2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79"/>
    </row>
    <row r="156" spans="1:10" ht="15.75" customHeight="1" x14ac:dyDescent="0.25">
      <c r="A156" s="156"/>
      <c r="B156" s="52"/>
      <c r="C156" s="77" t="s">
        <v>137</v>
      </c>
      <c r="D156" s="119"/>
      <c r="E156" s="119"/>
      <c r="F156" s="119"/>
      <c r="G156" s="119"/>
      <c r="H156" s="163"/>
      <c r="I156" s="163"/>
      <c r="J156" s="279"/>
    </row>
    <row r="157" spans="1:10" ht="12" customHeight="1" x14ac:dyDescent="0.2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2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25">
      <c r="A162" s="1" t="s">
        <v>116</v>
      </c>
      <c r="B162" s="2"/>
      <c r="C162" s="218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8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116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" customHeight="1" x14ac:dyDescent="0.25">
      <c r="A165" s="1" t="s">
        <v>116</v>
      </c>
      <c r="B165" s="253"/>
      <c r="C165" s="149" t="s">
        <v>1</v>
      </c>
      <c r="D165" s="185"/>
      <c r="E165" s="280"/>
      <c r="F165" s="280"/>
      <c r="G165" s="280"/>
      <c r="H165" s="1"/>
      <c r="I165" s="1"/>
      <c r="J165" s="120"/>
    </row>
    <row r="166" spans="1:10" ht="14.1" customHeight="1" x14ac:dyDescent="0.25">
      <c r="A166" s="1"/>
      <c r="B166" s="253"/>
      <c r="C166" s="177" t="s">
        <v>6</v>
      </c>
      <c r="D166" s="189">
        <v>10823</v>
      </c>
      <c r="E166" s="280"/>
      <c r="F166" s="280"/>
      <c r="G166" s="280"/>
      <c r="H166" s="1"/>
      <c r="I166" s="1"/>
      <c r="J166" s="120"/>
    </row>
    <row r="167" spans="1:10" ht="14.1" customHeight="1" x14ac:dyDescent="0.25">
      <c r="A167" s="1"/>
      <c r="B167" s="253"/>
      <c r="C167" s="177" t="s">
        <v>9</v>
      </c>
      <c r="D167" s="189">
        <f>8888 + 750</f>
        <v>9638</v>
      </c>
      <c r="E167" s="280"/>
      <c r="F167" s="280"/>
      <c r="G167" s="234"/>
      <c r="H167" s="1"/>
      <c r="I167" s="1"/>
      <c r="J167" s="120"/>
    </row>
    <row r="168" spans="1:10" ht="14.1" customHeight="1" x14ac:dyDescent="0.25">
      <c r="A168" s="1"/>
      <c r="B168" s="253"/>
      <c r="C168" s="177" t="s">
        <v>74</v>
      </c>
      <c r="D168" s="189">
        <v>790</v>
      </c>
      <c r="E168" s="280"/>
      <c r="F168" s="280"/>
      <c r="G168" s="280"/>
      <c r="H168" s="1"/>
      <c r="I168" s="1"/>
      <c r="J168" s="120"/>
    </row>
    <row r="169" spans="1:10" ht="14.1" customHeight="1" x14ac:dyDescent="0.25">
      <c r="A169" s="1"/>
      <c r="B169" s="253"/>
      <c r="C169" s="177" t="s">
        <v>49</v>
      </c>
      <c r="D169" s="189">
        <f>SUM(D166:D168)</f>
        <v>21251</v>
      </c>
      <c r="E169" s="280"/>
      <c r="F169" s="280"/>
      <c r="G169" s="280"/>
      <c r="H169" s="1"/>
      <c r="I169" s="1"/>
      <c r="J169" s="120"/>
    </row>
    <row r="170" spans="1:10" ht="14.1" customHeight="1" x14ac:dyDescent="0.25">
      <c r="A170" s="1"/>
      <c r="B170" s="253"/>
      <c r="C170" s="1"/>
      <c r="D170" s="47"/>
      <c r="E170" s="280"/>
      <c r="F170" s="280"/>
      <c r="G170" s="280"/>
      <c r="H170" s="1"/>
      <c r="I170" s="1"/>
      <c r="J170" s="120"/>
    </row>
    <row r="171" spans="1:10" ht="3.75" customHeight="1" x14ac:dyDescent="0.25">
      <c r="A171" s="1"/>
      <c r="B171" s="240"/>
      <c r="C171" s="159"/>
      <c r="D171" s="159"/>
      <c r="E171" s="266"/>
      <c r="F171" s="266"/>
      <c r="G171" s="266"/>
      <c r="H171" s="232"/>
      <c r="I171" s="232"/>
      <c r="J171" s="244"/>
    </row>
    <row r="172" spans="1:10" ht="24.75" customHeight="1" x14ac:dyDescent="0.25">
      <c r="A172" s="1"/>
      <c r="B172" s="253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25">
      <c r="A173" s="1"/>
      <c r="B173" s="198"/>
      <c r="C173" s="223"/>
      <c r="D173" s="223"/>
      <c r="E173" s="223"/>
      <c r="F173" s="223"/>
      <c r="G173" s="223"/>
      <c r="H173" s="223"/>
      <c r="I173" s="223"/>
      <c r="J173" s="13"/>
    </row>
    <row r="174" spans="1:10" ht="61.5" customHeight="1" x14ac:dyDescent="0.25">
      <c r="A174" s="156"/>
      <c r="B174" s="52"/>
      <c r="C174" s="15" t="s">
        <v>16</v>
      </c>
      <c r="D174" s="175" t="s">
        <v>2</v>
      </c>
      <c r="E174" s="15" t="s">
        <v>147</v>
      </c>
      <c r="F174" s="15" t="s">
        <v>148</v>
      </c>
      <c r="G174" s="54" t="s">
        <v>149</v>
      </c>
      <c r="H174" s="15" t="s">
        <v>150</v>
      </c>
      <c r="I174" s="156"/>
      <c r="J174" s="279"/>
    </row>
    <row r="175" spans="1:10" ht="14.1" customHeight="1" x14ac:dyDescent="0.25">
      <c r="A175" s="1"/>
      <c r="B175" s="253"/>
      <c r="C175" s="141" t="s">
        <v>75</v>
      </c>
      <c r="D175" s="94">
        <v>4223</v>
      </c>
      <c r="E175" s="275">
        <f>0</f>
        <v>0</v>
      </c>
      <c r="F175" s="275">
        <f>343.12424</f>
        <v>343.12423999999999</v>
      </c>
      <c r="G175" s="43">
        <f>D175-F175-F176</f>
        <v>3334.28107</v>
      </c>
      <c r="H175" s="275">
        <f>619.40034</f>
        <v>619.40034000000003</v>
      </c>
      <c r="I175" s="1"/>
      <c r="J175" s="120"/>
    </row>
    <row r="176" spans="1:10" ht="14.1" customHeight="1" x14ac:dyDescent="0.25">
      <c r="A176" s="1"/>
      <c r="B176" s="253"/>
      <c r="C176" s="137" t="s">
        <v>53</v>
      </c>
      <c r="D176" s="181"/>
      <c r="E176" s="152">
        <f>144.57094</f>
        <v>144.57094000000001</v>
      </c>
      <c r="F176" s="152">
        <f>545.59469</f>
        <v>545.59469000000001</v>
      </c>
      <c r="G176" s="216"/>
      <c r="H176" s="152">
        <f>304.84135</f>
        <v>304.84134999999998</v>
      </c>
      <c r="I176" s="1"/>
      <c r="J176" s="120"/>
    </row>
    <row r="177" spans="1:10" ht="15.6" customHeight="1" x14ac:dyDescent="0.25">
      <c r="A177" s="1"/>
      <c r="B177" s="253"/>
      <c r="C177" s="169" t="s">
        <v>76</v>
      </c>
      <c r="D177" s="98">
        <v>200</v>
      </c>
      <c r="E177" s="172">
        <f>2.41484</f>
        <v>2.4148399999999999</v>
      </c>
      <c r="F177" s="172">
        <f>27.43974</f>
        <v>27.43974</v>
      </c>
      <c r="G177" s="172">
        <f>D177-F177</f>
        <v>172.56026</v>
      </c>
      <c r="H177" s="172">
        <f>32.42226</f>
        <v>32.422260000000001</v>
      </c>
      <c r="I177" s="1"/>
      <c r="J177" s="120"/>
    </row>
    <row r="178" spans="1:10" ht="14.1" customHeight="1" x14ac:dyDescent="0.25">
      <c r="A178" s="67"/>
      <c r="B178" s="78"/>
      <c r="C178" s="180" t="s">
        <v>77</v>
      </c>
      <c r="D178" s="181">
        <v>6334</v>
      </c>
      <c r="E178" s="181">
        <f>E179+E180+E181</f>
        <v>17.22062</v>
      </c>
      <c r="F178" s="181">
        <f>F179+F180+F181</f>
        <v>93.573849999999993</v>
      </c>
      <c r="G178" s="181">
        <f>D178-F178</f>
        <v>6240.4261500000002</v>
      </c>
      <c r="H178" s="181">
        <f>H179+H180+H181</f>
        <v>25.404919999999997</v>
      </c>
      <c r="I178" s="67"/>
      <c r="J178" s="116"/>
    </row>
    <row r="179" spans="1:10" ht="14.1" customHeight="1" x14ac:dyDescent="0.25">
      <c r="A179" s="197"/>
      <c r="B179" s="182"/>
      <c r="C179" s="183" t="s">
        <v>78</v>
      </c>
      <c r="D179" s="127"/>
      <c r="E179" s="127">
        <f>7.2481</f>
        <v>7.2481</v>
      </c>
      <c r="F179" s="127">
        <f>48.05601</f>
        <v>48.056010000000001</v>
      </c>
      <c r="G179" s="127"/>
      <c r="H179" s="127">
        <f>8.85048</f>
        <v>8.8504799999999992</v>
      </c>
      <c r="I179" s="186"/>
      <c r="J179" s="129"/>
    </row>
    <row r="180" spans="1:10" ht="14.1" customHeight="1" x14ac:dyDescent="0.25">
      <c r="A180" s="197"/>
      <c r="B180" s="182"/>
      <c r="C180" s="183" t="s">
        <v>79</v>
      </c>
      <c r="D180" s="127"/>
      <c r="E180" s="127">
        <f>5.61302</f>
        <v>5.6130199999999997</v>
      </c>
      <c r="F180" s="127">
        <f>24.34826</f>
        <v>24.34826</v>
      </c>
      <c r="G180" s="127"/>
      <c r="H180" s="127">
        <f>15.45032</f>
        <v>15.45032</v>
      </c>
      <c r="I180" s="186"/>
      <c r="J180" s="187"/>
    </row>
    <row r="181" spans="1:10" ht="14.1" customHeight="1" x14ac:dyDescent="0.25">
      <c r="A181" s="197"/>
      <c r="B181" s="182"/>
      <c r="C181" s="188" t="s">
        <v>80</v>
      </c>
      <c r="D181" s="192"/>
      <c r="E181" s="192">
        <f>4.3595</f>
        <v>4.3594999999999997</v>
      </c>
      <c r="F181" s="192">
        <f>21.16958</f>
        <v>21.16958</v>
      </c>
      <c r="G181" s="192"/>
      <c r="H181" s="192">
        <f>1.10412</f>
        <v>1.10412</v>
      </c>
      <c r="I181" s="186"/>
      <c r="J181" s="187"/>
    </row>
    <row r="182" spans="1:10" ht="14.1" customHeight="1" x14ac:dyDescent="0.25">
      <c r="A182" s="1"/>
      <c r="B182" s="253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3"/>
    </row>
    <row r="183" spans="1:10" ht="16.5" customHeight="1" x14ac:dyDescent="0.25">
      <c r="A183" s="1"/>
      <c r="B183" s="253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3"/>
    </row>
    <row r="184" spans="1:10" ht="19.350000000000001" customHeight="1" x14ac:dyDescent="0.25">
      <c r="A184" s="156"/>
      <c r="B184" s="52"/>
      <c r="C184" s="74" t="s">
        <v>40</v>
      </c>
      <c r="D184" s="194">
        <f>D175+D177+D178+D182</f>
        <v>10823</v>
      </c>
      <c r="E184" s="194">
        <f>E175+E176+E177+E178+E182+E183</f>
        <v>164.2064</v>
      </c>
      <c r="F184" s="194">
        <f>F175+F176+F177+F178+F182+F183</f>
        <v>1009.73252</v>
      </c>
      <c r="G184" s="194">
        <f>D184-F184</f>
        <v>9813.2674800000004</v>
      </c>
      <c r="H184" s="194">
        <f>H175+H176+H177+H178+H182+H183</f>
        <v>982.06887000000006</v>
      </c>
      <c r="I184" s="163"/>
      <c r="J184" s="160"/>
    </row>
    <row r="185" spans="1:10" ht="42" customHeight="1" x14ac:dyDescent="0.25">
      <c r="A185" s="1"/>
      <c r="B185" s="198"/>
      <c r="C185" s="226" t="s">
        <v>118</v>
      </c>
      <c r="D185" s="226"/>
      <c r="E185" s="226"/>
      <c r="F185" s="226"/>
      <c r="G185" s="226"/>
      <c r="H185" s="223"/>
      <c r="I185" s="223"/>
      <c r="J185" s="13"/>
    </row>
    <row r="186" spans="1:10" ht="12" customHeight="1" x14ac:dyDescent="0.25">
      <c r="A186" s="156" t="s">
        <v>116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2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25">
      <c r="A188" s="150" t="s">
        <v>116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/>
      <c r="B189" s="1"/>
      <c r="C189" s="214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35">
      <c r="A190" s="150" t="s">
        <v>116</v>
      </c>
      <c r="B190" s="1"/>
      <c r="C190" s="214"/>
      <c r="D190" s="170"/>
      <c r="E190" s="170"/>
      <c r="F190" s="170"/>
      <c r="G190" s="170"/>
      <c r="H190" s="1"/>
      <c r="I190" s="1"/>
      <c r="J190" s="1"/>
    </row>
    <row r="191" spans="1:10" ht="12" customHeight="1" x14ac:dyDescent="0.25">
      <c r="A191" s="150"/>
      <c r="B191" s="138"/>
      <c r="C191" s="225"/>
      <c r="D191" s="236"/>
      <c r="E191" s="236"/>
      <c r="F191" s="236"/>
      <c r="G191" s="236"/>
      <c r="H191" s="154"/>
      <c r="I191" s="154"/>
      <c r="J191" s="162"/>
    </row>
    <row r="192" spans="1:10" ht="15" customHeight="1" x14ac:dyDescent="0.25">
      <c r="A192" s="150"/>
      <c r="B192" s="253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3"/>
      <c r="C193" s="258" t="s">
        <v>84</v>
      </c>
      <c r="D193" s="269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25">
      <c r="A194" s="150"/>
      <c r="B194" s="253"/>
      <c r="C194" s="247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25">
      <c r="A195" s="150"/>
      <c r="B195" s="253"/>
      <c r="C195" s="247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25">
      <c r="A196" s="150"/>
      <c r="B196" s="253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25">
      <c r="A197" s="1"/>
      <c r="B197" s="253"/>
      <c r="C197" s="101" t="s">
        <v>124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25">
      <c r="A198" s="1"/>
      <c r="B198" s="253"/>
      <c r="C198" s="101" t="s">
        <v>125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53"/>
      <c r="C199" s="101" t="s">
        <v>128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25">
      <c r="A200" s="1"/>
      <c r="B200" s="240"/>
      <c r="C200" s="266"/>
      <c r="D200" s="159"/>
      <c r="E200" s="159"/>
      <c r="F200" s="266"/>
      <c r="G200" s="266"/>
      <c r="H200" s="266"/>
      <c r="I200" s="232"/>
      <c r="J200" s="244"/>
    </row>
    <row r="201" spans="1:10" ht="23.25" customHeight="1" x14ac:dyDescent="0.25">
      <c r="A201" s="1"/>
      <c r="B201" s="253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25">
      <c r="A202" s="1"/>
      <c r="B202" s="253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25">
      <c r="A203" s="1"/>
      <c r="B203" s="253"/>
      <c r="C203" s="68" t="s">
        <v>16</v>
      </c>
      <c r="D203" s="79" t="s">
        <v>2</v>
      </c>
      <c r="E203" s="68" t="s">
        <v>147</v>
      </c>
      <c r="F203" s="68" t="s">
        <v>148</v>
      </c>
      <c r="G203" s="68" t="s">
        <v>149</v>
      </c>
      <c r="H203" s="68" t="s">
        <v>150</v>
      </c>
      <c r="I203" s="1"/>
      <c r="J203" s="120"/>
    </row>
    <row r="204" spans="1:10" ht="15" customHeight="1" x14ac:dyDescent="0.25">
      <c r="A204" s="1"/>
      <c r="B204" s="253"/>
      <c r="C204" s="90" t="s">
        <v>4</v>
      </c>
      <c r="D204" s="124">
        <v>46282</v>
      </c>
      <c r="E204" s="124">
        <f>0</f>
        <v>0</v>
      </c>
      <c r="F204" s="124">
        <f>13112.46183</f>
        <v>13112.46183</v>
      </c>
      <c r="G204" s="124">
        <f>D204-F204</f>
        <v>33169.53817</v>
      </c>
      <c r="H204" s="124">
        <f>8044.62577</f>
        <v>8044.6257699999996</v>
      </c>
      <c r="I204" s="247"/>
      <c r="J204" s="120"/>
    </row>
    <row r="205" spans="1:10" ht="15" customHeight="1" x14ac:dyDescent="0.25">
      <c r="A205" s="1"/>
      <c r="B205" s="253"/>
      <c r="C205" s="90" t="s">
        <v>67</v>
      </c>
      <c r="D205" s="124">
        <v>100</v>
      </c>
      <c r="E205" s="124">
        <f>1.28238</f>
        <v>1.2823800000000001</v>
      </c>
      <c r="F205" s="124">
        <f>8.13643</f>
        <v>8.1364300000000007</v>
      </c>
      <c r="G205" s="124">
        <f>D205-F205</f>
        <v>91.863569999999996</v>
      </c>
      <c r="H205" s="124">
        <f>2.14333</f>
        <v>2.1433300000000002</v>
      </c>
      <c r="I205" s="247"/>
      <c r="J205" s="120"/>
    </row>
    <row r="206" spans="1:10" ht="15.75" customHeight="1" x14ac:dyDescent="0.25">
      <c r="A206" s="1"/>
      <c r="B206" s="253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7"/>
      <c r="J206" s="120"/>
    </row>
    <row r="207" spans="1:10" ht="16.5" customHeight="1" x14ac:dyDescent="0.25">
      <c r="A207" s="1"/>
      <c r="B207" s="253"/>
      <c r="C207" s="179" t="s">
        <v>87</v>
      </c>
      <c r="D207" s="190">
        <f>SUM(D204:D206)</f>
        <v>46418</v>
      </c>
      <c r="E207" s="190">
        <f>SUM(E204:E206)</f>
        <v>1.2823800000000001</v>
      </c>
      <c r="F207" s="190">
        <f>SUM(F204:F206)</f>
        <v>13120.598260000001</v>
      </c>
      <c r="G207" s="190">
        <f>D207-F207</f>
        <v>33297.401740000001</v>
      </c>
      <c r="H207" s="190">
        <f>SUM(H204:H206)</f>
        <v>8046.7690999999995</v>
      </c>
      <c r="I207" s="247"/>
      <c r="J207" s="120"/>
    </row>
    <row r="208" spans="1:10" ht="17.100000000000001" customHeight="1" x14ac:dyDescent="0.2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5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116</v>
      </c>
      <c r="B242" s="1"/>
      <c r="C242" s="1"/>
      <c r="D242" s="1"/>
      <c r="E242" s="1"/>
      <c r="F242" s="1"/>
      <c r="G242" s="1"/>
      <c r="H242" s="1"/>
      <c r="I242" s="1"/>
      <c r="J242" s="217"/>
    </row>
    <row r="243" spans="1:10" ht="21.75" customHeight="1" x14ac:dyDescent="0.35">
      <c r="A243" s="150"/>
      <c r="B243" s="1"/>
      <c r="C243" s="214" t="s">
        <v>119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35">
      <c r="A244" s="150" t="s">
        <v>116</v>
      </c>
      <c r="B244" s="1"/>
      <c r="C244" s="214"/>
      <c r="D244" s="170"/>
      <c r="E244" s="170"/>
      <c r="F244" s="170"/>
      <c r="G244" s="170"/>
      <c r="H244" s="1"/>
      <c r="I244" s="1"/>
      <c r="J244" s="1"/>
    </row>
    <row r="245" spans="1:10" ht="12" customHeight="1" x14ac:dyDescent="0.25">
      <c r="A245" s="150"/>
      <c r="B245" s="138"/>
      <c r="C245" s="225"/>
      <c r="D245" s="236"/>
      <c r="E245" s="236"/>
      <c r="F245" s="236"/>
      <c r="G245" s="236"/>
      <c r="H245" s="154"/>
      <c r="I245" s="154"/>
      <c r="J245" s="162"/>
    </row>
    <row r="246" spans="1:10" ht="23.25" customHeight="1" x14ac:dyDescent="0.25">
      <c r="A246" s="1"/>
      <c r="B246" s="253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25">
      <c r="A247" s="1"/>
      <c r="B247" s="253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25">
      <c r="A248" s="1"/>
      <c r="B248" s="253"/>
      <c r="C248" s="68" t="s">
        <v>16</v>
      </c>
      <c r="D248" s="79" t="s">
        <v>2</v>
      </c>
      <c r="E248" s="68" t="s">
        <v>147</v>
      </c>
      <c r="F248" s="68" t="s">
        <v>148</v>
      </c>
      <c r="G248" s="68" t="s">
        <v>149</v>
      </c>
      <c r="H248" s="68" t="s">
        <v>150</v>
      </c>
      <c r="I248" s="1"/>
      <c r="J248" s="120"/>
    </row>
    <row r="249" spans="1:10" ht="15" customHeight="1" x14ac:dyDescent="0.25">
      <c r="A249" s="1"/>
      <c r="B249" s="253"/>
      <c r="C249" s="90" t="s">
        <v>126</v>
      </c>
      <c r="D249" s="124">
        <v>3987</v>
      </c>
      <c r="E249" s="75">
        <f>E250+E251</f>
        <v>97.647320000000008</v>
      </c>
      <c r="F249" s="75">
        <f>F250+F251</f>
        <v>2280.0191299999997</v>
      </c>
      <c r="G249" s="75">
        <f>D249-F249</f>
        <v>1706.9808700000003</v>
      </c>
      <c r="H249" s="75">
        <f>H250+H251</f>
        <v>1430.2581799999998</v>
      </c>
      <c r="I249" s="247"/>
      <c r="J249" s="120"/>
    </row>
    <row r="250" spans="1:10" ht="15" customHeight="1" x14ac:dyDescent="0.25">
      <c r="A250" s="1"/>
      <c r="B250" s="253"/>
      <c r="C250" s="177" t="s">
        <v>8</v>
      </c>
      <c r="D250" s="124"/>
      <c r="E250" s="75">
        <f>90.75472</f>
        <v>90.754720000000006</v>
      </c>
      <c r="F250" s="75">
        <f>1829.33559</f>
        <v>1829.3355899999999</v>
      </c>
      <c r="G250" s="75"/>
      <c r="H250" s="75">
        <f>1033.82783</f>
        <v>1033.8278299999999</v>
      </c>
      <c r="I250" s="247"/>
      <c r="J250" s="120"/>
    </row>
    <row r="251" spans="1:10" ht="15" customHeight="1" x14ac:dyDescent="0.25">
      <c r="A251" s="1"/>
      <c r="B251" s="253"/>
      <c r="C251" s="177" t="s">
        <v>67</v>
      </c>
      <c r="D251" s="124"/>
      <c r="E251" s="124">
        <f>6.8926</f>
        <v>6.8925999999999998</v>
      </c>
      <c r="F251" s="124">
        <f>450.68354</f>
        <v>450.68353999999999</v>
      </c>
      <c r="G251" s="168"/>
      <c r="H251" s="124">
        <f>396.43035</f>
        <v>396.43034999999998</v>
      </c>
      <c r="I251" s="247"/>
      <c r="J251" s="120"/>
    </row>
    <row r="252" spans="1:10" ht="15" customHeight="1" x14ac:dyDescent="0.25">
      <c r="A252" s="1"/>
      <c r="B252" s="253"/>
      <c r="C252" s="90" t="s">
        <v>127</v>
      </c>
      <c r="D252" s="124">
        <v>4613</v>
      </c>
      <c r="E252" s="75">
        <f>304.95197</f>
        <v>304.95197000000002</v>
      </c>
      <c r="F252" s="75">
        <f>3203.15642</f>
        <v>3203.1564199999998</v>
      </c>
      <c r="G252" s="75">
        <f>D252-F252</f>
        <v>1409.8435800000002</v>
      </c>
      <c r="H252" s="75">
        <f>2849.69503</f>
        <v>2849.6950299999999</v>
      </c>
      <c r="I252" s="247"/>
      <c r="J252" s="120"/>
    </row>
    <row r="253" spans="1:10" ht="16.5" customHeight="1" x14ac:dyDescent="0.25">
      <c r="A253" s="1"/>
      <c r="B253" s="253"/>
      <c r="C253" s="179" t="s">
        <v>87</v>
      </c>
      <c r="D253" s="190">
        <f>D252+D249</f>
        <v>8600</v>
      </c>
      <c r="E253" s="190">
        <f>SUM(E249,E252)</f>
        <v>402.59929</v>
      </c>
      <c r="F253" s="190">
        <f>SUM(F249,F252)</f>
        <v>5483.1755499999999</v>
      </c>
      <c r="G253" s="190">
        <f>D253-F253</f>
        <v>3116.8244500000001</v>
      </c>
      <c r="H253" s="190">
        <f>SUM(H249,H252)</f>
        <v>4279.9532099999997</v>
      </c>
      <c r="I253" s="247"/>
      <c r="J253" s="120"/>
    </row>
    <row r="254" spans="1:10" ht="17.100000000000001" customHeight="1" x14ac:dyDescent="0.25">
      <c r="A254" s="1"/>
      <c r="B254" s="164"/>
      <c r="C254" s="201"/>
      <c r="D254" s="107"/>
      <c r="E254" s="107"/>
      <c r="F254" s="210"/>
      <c r="G254" s="210"/>
      <c r="H254" s="210"/>
      <c r="I254" s="210"/>
      <c r="J254" s="215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00000000000001" customHeight="1" x14ac:dyDescent="0.25">
      <c r="A288" s="1" t="s">
        <v>116</v>
      </c>
      <c r="B288" s="1"/>
      <c r="C288" s="1"/>
      <c r="D288" s="1"/>
      <c r="E288" s="1"/>
      <c r="F288" s="1"/>
      <c r="G288" s="1"/>
      <c r="H288" s="1"/>
      <c r="I288" s="1"/>
      <c r="J288" s="217"/>
    </row>
    <row r="289" spans="1:10" ht="21.75" customHeight="1" x14ac:dyDescent="0.35">
      <c r="A289" s="150"/>
      <c r="B289" s="1"/>
      <c r="C289" s="214" t="s">
        <v>120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35">
      <c r="A290" s="150" t="s">
        <v>116</v>
      </c>
      <c r="B290" s="1"/>
      <c r="C290" s="214"/>
      <c r="D290" s="170"/>
      <c r="E290" s="170"/>
      <c r="F290" s="170"/>
      <c r="G290" s="170"/>
      <c r="H290" s="1"/>
      <c r="I290" s="1"/>
      <c r="J290" s="1"/>
    </row>
    <row r="291" spans="1:10" ht="12" customHeight="1" x14ac:dyDescent="0.25">
      <c r="A291" s="150"/>
      <c r="B291" s="138"/>
      <c r="C291" s="225"/>
      <c r="D291" s="236"/>
      <c r="E291" s="236"/>
      <c r="F291" s="236"/>
      <c r="G291" s="236"/>
      <c r="H291" s="154"/>
      <c r="I291" s="154"/>
      <c r="J291" s="162"/>
    </row>
    <row r="292" spans="1:10" ht="23.25" customHeight="1" x14ac:dyDescent="0.25">
      <c r="A292" s="1"/>
      <c r="B292" s="253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25">
      <c r="A293" s="1"/>
      <c r="B293" s="253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25">
      <c r="A294" s="1"/>
      <c r="B294" s="253"/>
      <c r="C294" s="68" t="s">
        <v>16</v>
      </c>
      <c r="D294" s="79" t="s">
        <v>2</v>
      </c>
      <c r="E294" s="68" t="s">
        <v>147</v>
      </c>
      <c r="F294" s="68" t="s">
        <v>148</v>
      </c>
      <c r="G294" s="68" t="s">
        <v>149</v>
      </c>
      <c r="H294" s="68" t="s">
        <v>150</v>
      </c>
      <c r="I294" s="1"/>
      <c r="J294" s="120"/>
    </row>
    <row r="295" spans="1:10" ht="15" customHeight="1" x14ac:dyDescent="0.25">
      <c r="A295" s="1"/>
      <c r="B295" s="253"/>
      <c r="C295" s="90" t="s">
        <v>126</v>
      </c>
      <c r="D295" s="124">
        <v>5090</v>
      </c>
      <c r="E295" s="75">
        <f>E296+E297</f>
        <v>116.46405999999999</v>
      </c>
      <c r="F295" s="75">
        <f>F296+F297</f>
        <v>1956.8191899999999</v>
      </c>
      <c r="G295" s="75">
        <f>D295-F295</f>
        <v>3133.1808099999998</v>
      </c>
      <c r="H295" s="75">
        <f>H296+H297</f>
        <v>1192.4105500000001</v>
      </c>
      <c r="I295" s="247"/>
      <c r="J295" s="120"/>
    </row>
    <row r="296" spans="1:10" ht="15" customHeight="1" x14ac:dyDescent="0.25">
      <c r="A296" s="1"/>
      <c r="B296" s="253"/>
      <c r="C296" s="177" t="s">
        <v>8</v>
      </c>
      <c r="D296" s="124"/>
      <c r="E296" s="75">
        <f>50.8114</f>
        <v>50.811399999999999</v>
      </c>
      <c r="F296" s="75">
        <f>1600.55925</f>
        <v>1600.55925</v>
      </c>
      <c r="G296" s="75"/>
      <c r="H296" s="75">
        <f>895.19474</f>
        <v>895.19474000000002</v>
      </c>
      <c r="I296" s="247"/>
      <c r="J296" s="120"/>
    </row>
    <row r="297" spans="1:10" ht="15" customHeight="1" x14ac:dyDescent="0.25">
      <c r="A297" s="1"/>
      <c r="B297" s="253"/>
      <c r="C297" s="177" t="s">
        <v>67</v>
      </c>
      <c r="D297" s="124"/>
      <c r="E297" s="124">
        <f>65.65266</f>
        <v>65.652659999999997</v>
      </c>
      <c r="F297" s="124">
        <f>356.25994</f>
        <v>356.25993999999997</v>
      </c>
      <c r="G297" s="168"/>
      <c r="H297" s="124">
        <f>297.21581</f>
        <v>297.21580999999998</v>
      </c>
      <c r="I297" s="247"/>
      <c r="J297" s="120"/>
    </row>
    <row r="298" spans="1:10" ht="15" customHeight="1" x14ac:dyDescent="0.25">
      <c r="A298" s="1"/>
      <c r="B298" s="253"/>
      <c r="C298" s="90" t="s">
        <v>127</v>
      </c>
      <c r="D298" s="124">
        <v>2981</v>
      </c>
      <c r="E298" s="75">
        <f>87.15052</f>
        <v>87.15052</v>
      </c>
      <c r="F298" s="75">
        <f>1563.2385</f>
        <v>1563.2384999999999</v>
      </c>
      <c r="G298" s="75">
        <f>D298-F298</f>
        <v>1417.7615000000001</v>
      </c>
      <c r="H298" s="75">
        <f>1329.4575</f>
        <v>1329.4575</v>
      </c>
      <c r="I298" s="247"/>
      <c r="J298" s="120"/>
    </row>
    <row r="299" spans="1:10" ht="16.5" customHeight="1" x14ac:dyDescent="0.25">
      <c r="A299" s="1"/>
      <c r="B299" s="253"/>
      <c r="C299" s="179" t="s">
        <v>87</v>
      </c>
      <c r="D299" s="190">
        <f>D298+D295</f>
        <v>8071</v>
      </c>
      <c r="E299" s="190">
        <f>SUM(E295,E298)</f>
        <v>203.61457999999999</v>
      </c>
      <c r="F299" s="190">
        <f>SUM(F295,F298)</f>
        <v>3520.0576899999996</v>
      </c>
      <c r="G299" s="190">
        <f>D299-F299</f>
        <v>4550.9423100000004</v>
      </c>
      <c r="H299" s="190">
        <f>SUM(H295,H298)</f>
        <v>2521.86805</v>
      </c>
      <c r="I299" s="247"/>
      <c r="J299" s="120"/>
    </row>
    <row r="300" spans="1:10" ht="17.100000000000001" customHeight="1" x14ac:dyDescent="0.25">
      <c r="A300" s="1"/>
      <c r="B300" s="164"/>
      <c r="C300" s="201"/>
      <c r="D300" s="107"/>
      <c r="E300" s="107"/>
      <c r="F300" s="210"/>
      <c r="G300" s="210"/>
      <c r="H300" s="210"/>
      <c r="I300" s="210"/>
      <c r="J300" s="215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25">
      <c r="A334" s="1" t="s">
        <v>116</v>
      </c>
      <c r="B334" s="1"/>
      <c r="C334" s="1"/>
      <c r="D334" s="1"/>
      <c r="E334" s="1"/>
      <c r="F334" s="1"/>
      <c r="G334" s="1"/>
      <c r="H334" s="1"/>
      <c r="I334" s="1"/>
      <c r="J334" s="217"/>
    </row>
    <row r="335" spans="1:10" ht="30" customHeight="1" x14ac:dyDescent="0.25">
      <c r="A335" s="217"/>
      <c r="B335" s="217"/>
      <c r="C335" s="218" t="s">
        <v>89</v>
      </c>
      <c r="D335" s="217"/>
      <c r="E335" s="217"/>
      <c r="F335" s="217"/>
      <c r="G335" s="217"/>
      <c r="H335" s="217"/>
      <c r="I335" s="217"/>
      <c r="J335" s="223"/>
    </row>
    <row r="336" spans="1:10" ht="30" customHeight="1" x14ac:dyDescent="0.25">
      <c r="A336" s="217" t="s">
        <v>116</v>
      </c>
      <c r="B336" s="217"/>
      <c r="C336" s="218"/>
      <c r="D336" s="217"/>
      <c r="E336" s="217"/>
      <c r="F336" s="217"/>
      <c r="G336" s="217"/>
      <c r="H336" s="217"/>
      <c r="I336" s="217"/>
      <c r="J336" s="223"/>
    </row>
    <row r="337" spans="1:10" ht="14.1" customHeight="1" x14ac:dyDescent="0.2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" customHeight="1" x14ac:dyDescent="0.2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" customHeight="1" x14ac:dyDescent="0.25">
      <c r="A339" s="1"/>
      <c r="B339" s="253"/>
      <c r="C339" s="258" t="s">
        <v>84</v>
      </c>
      <c r="D339" s="269">
        <v>3851</v>
      </c>
      <c r="E339" s="150"/>
      <c r="F339" s="224"/>
      <c r="G339" s="1"/>
      <c r="H339" s="1"/>
      <c r="I339" s="1"/>
      <c r="J339" s="120"/>
    </row>
    <row r="340" spans="1:10" ht="14.1" customHeight="1" x14ac:dyDescent="0.25">
      <c r="A340" s="1"/>
      <c r="B340" s="253"/>
      <c r="C340" s="247" t="s">
        <v>90</v>
      </c>
      <c r="D340" s="46">
        <v>11613</v>
      </c>
      <c r="E340" s="150"/>
      <c r="F340" s="224"/>
      <c r="G340" s="1"/>
      <c r="H340" s="1"/>
      <c r="I340" s="1"/>
      <c r="J340" s="120"/>
    </row>
    <row r="341" spans="1:10" ht="14.1" customHeight="1" x14ac:dyDescent="0.25">
      <c r="A341" s="1"/>
      <c r="B341" s="253"/>
      <c r="C341" s="247" t="s">
        <v>91</v>
      </c>
      <c r="D341" s="46">
        <v>9054</v>
      </c>
      <c r="E341" s="150"/>
      <c r="F341" s="224"/>
      <c r="G341" s="1"/>
      <c r="H341" s="1"/>
      <c r="I341" s="1"/>
      <c r="J341" s="120"/>
    </row>
    <row r="342" spans="1:10" ht="13.5" customHeight="1" x14ac:dyDescent="0.25">
      <c r="A342" s="1"/>
      <c r="B342" s="253"/>
      <c r="C342" s="247" t="s">
        <v>129</v>
      </c>
      <c r="D342" s="46">
        <v>382</v>
      </c>
      <c r="E342" s="150"/>
      <c r="F342" s="224"/>
      <c r="G342" s="1"/>
      <c r="H342" s="1"/>
      <c r="I342" s="1"/>
      <c r="J342" s="120"/>
    </row>
    <row r="343" spans="1:10" ht="14.25" customHeight="1" x14ac:dyDescent="0.25">
      <c r="A343" s="1"/>
      <c r="B343" s="253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" customHeight="1" x14ac:dyDescent="0.25">
      <c r="A344" s="1"/>
      <c r="B344" s="253"/>
      <c r="C344" s="227" t="s">
        <v>92</v>
      </c>
      <c r="D344" s="228"/>
      <c r="E344" s="178"/>
      <c r="F344" s="178"/>
      <c r="G344" s="1"/>
      <c r="H344" s="1"/>
      <c r="I344" s="1"/>
      <c r="J344" s="120"/>
    </row>
    <row r="345" spans="1:10" ht="15" customHeight="1" x14ac:dyDescent="0.25">
      <c r="A345" s="1"/>
      <c r="B345" s="253"/>
      <c r="C345" s="101" t="s">
        <v>102</v>
      </c>
      <c r="D345" s="229"/>
      <c r="E345" s="1"/>
      <c r="F345" s="1"/>
      <c r="G345" s="1"/>
      <c r="H345" s="1"/>
      <c r="I345" s="1"/>
      <c r="J345" s="120"/>
    </row>
    <row r="346" spans="1:10" ht="14.25" customHeight="1" x14ac:dyDescent="0.25">
      <c r="A346" s="1"/>
      <c r="B346" s="253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25">
      <c r="A347" s="1"/>
      <c r="B347" s="230"/>
      <c r="C347" s="233" t="s">
        <v>15</v>
      </c>
      <c r="D347" s="233"/>
      <c r="E347" s="233"/>
      <c r="F347" s="233"/>
      <c r="G347" s="233"/>
      <c r="H347" s="233"/>
      <c r="I347" s="233"/>
      <c r="J347" s="237"/>
    </row>
    <row r="348" spans="1:10" ht="14.1" customHeight="1" x14ac:dyDescent="0.25">
      <c r="A348" s="1"/>
      <c r="B348" s="239"/>
      <c r="C348" s="241"/>
      <c r="D348" s="241"/>
      <c r="E348" s="241"/>
      <c r="F348" s="241"/>
      <c r="G348" s="241"/>
      <c r="H348" s="241"/>
      <c r="I348" s="241"/>
      <c r="J348" s="120"/>
    </row>
    <row r="349" spans="1:10" ht="54" customHeight="1" x14ac:dyDescent="0.25">
      <c r="A349" s="1"/>
      <c r="B349" s="253"/>
      <c r="C349" s="68" t="s">
        <v>16</v>
      </c>
      <c r="D349" s="242" t="s">
        <v>2</v>
      </c>
      <c r="E349" s="68" t="s">
        <v>147</v>
      </c>
      <c r="F349" s="68" t="s">
        <v>148</v>
      </c>
      <c r="G349" s="68" t="s">
        <v>149</v>
      </c>
      <c r="H349" s="68" t="s">
        <v>150</v>
      </c>
      <c r="I349" s="1"/>
      <c r="J349" s="116"/>
    </row>
    <row r="350" spans="1:10" ht="14.1" customHeight="1" x14ac:dyDescent="0.25">
      <c r="A350" s="67"/>
      <c r="B350" s="78"/>
      <c r="C350" s="90" t="s">
        <v>93</v>
      </c>
      <c r="D350" s="124">
        <v>800</v>
      </c>
      <c r="E350" s="124">
        <f>6.59089</f>
        <v>6.5908899999999999</v>
      </c>
      <c r="F350" s="124">
        <f>235.13476</f>
        <v>235.13476</v>
      </c>
      <c r="G350" s="124">
        <f>D350-F350</f>
        <v>564.86523999999997</v>
      </c>
      <c r="H350" s="124">
        <f>156.35263</f>
        <v>156.35263</v>
      </c>
      <c r="I350" s="67"/>
      <c r="J350" s="243"/>
    </row>
    <row r="351" spans="1:10" ht="14.1" customHeight="1" x14ac:dyDescent="0.25">
      <c r="A351" s="1"/>
      <c r="B351" s="253"/>
      <c r="C351" s="90" t="s">
        <v>94</v>
      </c>
      <c r="D351" s="245">
        <v>3041</v>
      </c>
      <c r="E351" s="124">
        <f>17.79075</f>
        <v>17.790749999999999</v>
      </c>
      <c r="F351" s="124">
        <f>440.06719</f>
        <v>440.06718999999998</v>
      </c>
      <c r="G351" s="124">
        <f>D351-F351</f>
        <v>2600.9328100000002</v>
      </c>
      <c r="H351" s="124">
        <f>473.66449</f>
        <v>473.66449</v>
      </c>
      <c r="I351" s="178"/>
      <c r="J351" s="116"/>
    </row>
    <row r="352" spans="1:10" ht="16.5" customHeight="1" x14ac:dyDescent="0.25">
      <c r="A352" s="67"/>
      <c r="B352" s="78"/>
      <c r="C352" s="146" t="s">
        <v>81</v>
      </c>
      <c r="D352" s="245">
        <v>10</v>
      </c>
      <c r="E352" s="168">
        <f>0</f>
        <v>0</v>
      </c>
      <c r="F352" s="168">
        <f>0.61006</f>
        <v>0.61006000000000005</v>
      </c>
      <c r="G352" s="124">
        <f>D352-F352</f>
        <v>9.3899399999999993</v>
      </c>
      <c r="H352" s="168">
        <f>0.6352</f>
        <v>0.63519999999999999</v>
      </c>
      <c r="I352" s="67"/>
      <c r="J352" s="248"/>
    </row>
    <row r="353" spans="1:10" ht="18.75" customHeight="1" x14ac:dyDescent="0.25">
      <c r="A353" s="67"/>
      <c r="B353" s="249"/>
      <c r="C353" s="146" t="s">
        <v>95</v>
      </c>
      <c r="D353" s="221"/>
      <c r="E353" s="168">
        <f>0</f>
        <v>0</v>
      </c>
      <c r="F353" s="168">
        <f>0.047</f>
        <v>4.7E-2</v>
      </c>
      <c r="G353" s="124">
        <f>D353-F353</f>
        <v>-4.7E-2</v>
      </c>
      <c r="H353" s="168">
        <f>0.19282</f>
        <v>0.19281999999999999</v>
      </c>
      <c r="I353" s="283"/>
      <c r="J353" s="120"/>
    </row>
    <row r="354" spans="1:10" ht="14.1" customHeight="1" x14ac:dyDescent="0.25">
      <c r="A354" s="1"/>
      <c r="B354" s="253"/>
      <c r="C354" s="179" t="s">
        <v>87</v>
      </c>
      <c r="D354" s="6">
        <f>D339</f>
        <v>3851</v>
      </c>
      <c r="E354" s="190">
        <f>SUM(E350:E353)</f>
        <v>24.381639999999997</v>
      </c>
      <c r="F354" s="190">
        <f>SUM(F350:F353)</f>
        <v>675.85901000000001</v>
      </c>
      <c r="G354" s="190">
        <f>D354-F354</f>
        <v>3175.1409899999999</v>
      </c>
      <c r="H354" s="190">
        <f>H350+H351+H352+H353</f>
        <v>630.84514000000001</v>
      </c>
      <c r="I354" s="1"/>
      <c r="J354" s="120"/>
    </row>
    <row r="355" spans="1:10" ht="14.1" customHeight="1" x14ac:dyDescent="0.25">
      <c r="A355" s="1"/>
      <c r="B355" s="253"/>
      <c r="C355" s="21"/>
      <c r="D355" s="34"/>
      <c r="E355" s="34"/>
      <c r="F355" s="34"/>
      <c r="G355" s="34"/>
      <c r="H355" s="34"/>
      <c r="I355" s="1"/>
      <c r="J355" s="120"/>
    </row>
    <row r="356" spans="1:10" ht="14.1" customHeight="1" x14ac:dyDescent="0.2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" customHeight="1" x14ac:dyDescent="0.25">
      <c r="A357" s="1"/>
      <c r="C357" s="150" t="s">
        <v>116</v>
      </c>
    </row>
    <row r="358" spans="1:10" ht="14.1" customHeight="1" x14ac:dyDescent="0.25">
      <c r="A358" s="1" t="s">
        <v>116</v>
      </c>
    </row>
    <row r="359" spans="1:10" ht="14.1" customHeight="1" x14ac:dyDescent="0.25">
      <c r="A359" s="1" t="s">
        <v>116</v>
      </c>
    </row>
    <row r="360" spans="1:10" ht="14.1" customHeight="1" x14ac:dyDescent="0.25">
      <c r="A360" s="1"/>
      <c r="C360" s="150" t="s">
        <v>116</v>
      </c>
    </row>
    <row r="361" spans="1:10" x14ac:dyDescent="0.25">
      <c r="A361" s="1"/>
      <c r="C361" s="150" t="s">
        <v>116</v>
      </c>
    </row>
    <row r="362" spans="1:10" ht="14.1" customHeight="1" x14ac:dyDescent="0.25">
      <c r="A362" s="1"/>
      <c r="C362" s="150" t="s">
        <v>116</v>
      </c>
    </row>
    <row r="363" spans="1:10" ht="14.1" customHeight="1" x14ac:dyDescent="0.25">
      <c r="A363" s="1"/>
      <c r="C363" s="150" t="s">
        <v>116</v>
      </c>
    </row>
    <row r="364" spans="1:10" ht="30" customHeight="1" x14ac:dyDescent="0.35">
      <c r="A364" s="217"/>
      <c r="B364" s="1"/>
      <c r="C364" s="214" t="s">
        <v>96</v>
      </c>
      <c r="D364" s="156"/>
      <c r="E364" s="1"/>
      <c r="F364" s="1"/>
      <c r="G364" s="1"/>
      <c r="H364" s="1"/>
      <c r="I364" s="1"/>
      <c r="J364" s="1"/>
    </row>
    <row r="365" spans="1:10" ht="17.100000000000001" customHeight="1" x14ac:dyDescent="0.25">
      <c r="B365" s="123"/>
      <c r="C365" s="238"/>
      <c r="D365" s="238"/>
      <c r="E365" s="238"/>
      <c r="F365" s="238"/>
      <c r="G365" s="238"/>
      <c r="H365" s="238"/>
      <c r="I365" s="238"/>
      <c r="J365" s="60"/>
    </row>
    <row r="366" spans="1:10" ht="6" customHeight="1" x14ac:dyDescent="0.2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2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25">
      <c r="B368" s="72"/>
      <c r="C368" s="258" t="s">
        <v>84</v>
      </c>
      <c r="D368" s="269">
        <v>35008</v>
      </c>
      <c r="E368" s="251" t="s">
        <v>4</v>
      </c>
      <c r="F368" s="103">
        <v>21508</v>
      </c>
      <c r="G368" s="247" t="s">
        <v>20</v>
      </c>
      <c r="H368" s="46">
        <v>12051</v>
      </c>
      <c r="I368" s="150"/>
      <c r="J368" s="130"/>
    </row>
    <row r="369" spans="1:10" ht="14.25" customHeight="1" x14ac:dyDescent="0.25">
      <c r="B369" s="72"/>
      <c r="C369" s="247" t="s">
        <v>91</v>
      </c>
      <c r="D369" s="46">
        <v>23995</v>
      </c>
      <c r="E369" s="178" t="s">
        <v>94</v>
      </c>
      <c r="F369" s="47">
        <v>8000</v>
      </c>
      <c r="G369" s="247" t="s">
        <v>21</v>
      </c>
      <c r="H369" s="46">
        <v>3136</v>
      </c>
      <c r="I369" s="150"/>
      <c r="J369" s="130"/>
    </row>
    <row r="370" spans="1:10" ht="14.25" customHeight="1" x14ac:dyDescent="0.25">
      <c r="B370" s="72"/>
      <c r="C370" s="247" t="s">
        <v>90</v>
      </c>
      <c r="D370" s="46">
        <v>8105</v>
      </c>
      <c r="E370" s="178" t="s">
        <v>59</v>
      </c>
      <c r="F370" s="47">
        <v>5500</v>
      </c>
      <c r="G370" s="247" t="s">
        <v>99</v>
      </c>
      <c r="H370" s="46">
        <v>4867</v>
      </c>
      <c r="I370" s="150"/>
      <c r="J370" s="130"/>
    </row>
    <row r="371" spans="1:10" ht="14.1" customHeight="1" x14ac:dyDescent="0.25">
      <c r="B371" s="72"/>
      <c r="C371" s="247"/>
      <c r="D371" s="46"/>
      <c r="E371" s="131"/>
      <c r="F371" s="144"/>
      <c r="G371" s="247" t="s">
        <v>100</v>
      </c>
      <c r="H371" s="46">
        <v>1454</v>
      </c>
      <c r="I371" s="150"/>
      <c r="J371" s="130"/>
    </row>
    <row r="372" spans="1:10" ht="14.1" customHeight="1" x14ac:dyDescent="0.2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35" customHeight="1" x14ac:dyDescent="0.25">
      <c r="B373" s="72"/>
      <c r="C373" s="211" t="s">
        <v>140</v>
      </c>
      <c r="D373" s="178"/>
      <c r="E373" s="178"/>
      <c r="F373" s="178"/>
      <c r="G373" s="1"/>
      <c r="H373" s="178"/>
      <c r="I373" s="178"/>
      <c r="J373" s="243"/>
    </row>
    <row r="374" spans="1:10" ht="13.35" customHeight="1" x14ac:dyDescent="0.25">
      <c r="B374" s="72"/>
      <c r="C374" s="212" t="s">
        <v>141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2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2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25">
      <c r="B377" s="230"/>
      <c r="C377" s="233" t="s">
        <v>15</v>
      </c>
      <c r="D377" s="233"/>
      <c r="E377" s="233"/>
      <c r="F377" s="233"/>
      <c r="G377" s="233"/>
      <c r="H377" s="233"/>
      <c r="I377" s="233"/>
      <c r="J377" s="237"/>
    </row>
    <row r="378" spans="1:10" ht="18.75" customHeight="1" x14ac:dyDescent="0.25">
      <c r="B378" s="198"/>
      <c r="C378" s="223"/>
      <c r="D378" s="223"/>
      <c r="E378" s="223"/>
      <c r="F378" s="223"/>
      <c r="G378" s="223"/>
      <c r="H378" s="223"/>
      <c r="I378" s="223"/>
      <c r="J378" s="13"/>
    </row>
    <row r="379" spans="1:10" ht="64.5" customHeight="1" x14ac:dyDescent="0.25">
      <c r="B379" s="72"/>
      <c r="C379" s="222" t="s">
        <v>16</v>
      </c>
      <c r="D379" s="231" t="s">
        <v>17</v>
      </c>
      <c r="E379" s="68" t="s">
        <v>103</v>
      </c>
      <c r="F379" s="222" t="s">
        <v>147</v>
      </c>
      <c r="G379" s="222" t="s">
        <v>148</v>
      </c>
      <c r="H379" s="222" t="s">
        <v>149</v>
      </c>
      <c r="I379" s="222" t="s">
        <v>150</v>
      </c>
      <c r="J379" s="130"/>
    </row>
    <row r="380" spans="1:10" ht="14.1" customHeight="1" x14ac:dyDescent="0.25">
      <c r="A380" s="217"/>
      <c r="B380" s="72"/>
      <c r="C380" s="246" t="s">
        <v>19</v>
      </c>
      <c r="D380" s="250">
        <f t="shared" ref="D380:I380" si="17">D384+D383+D382+D381</f>
        <v>21508</v>
      </c>
      <c r="E380" s="250">
        <v>22969</v>
      </c>
      <c r="F380" s="252">
        <f t="shared" si="17"/>
        <v>85.21220000000001</v>
      </c>
      <c r="G380" s="252">
        <f t="shared" si="17"/>
        <v>5494.7241200000008</v>
      </c>
      <c r="H380" s="252">
        <f>H384+H383+H382+H381</f>
        <v>17474.275880000001</v>
      </c>
      <c r="I380" s="252">
        <f t="shared" si="17"/>
        <v>3611.7771700000003</v>
      </c>
      <c r="J380" s="130"/>
    </row>
    <row r="381" spans="1:10" ht="14.1" customHeight="1" x14ac:dyDescent="0.25">
      <c r="A381" s="217"/>
      <c r="B381" s="72"/>
      <c r="C381" s="254" t="s">
        <v>104</v>
      </c>
      <c r="D381" s="255">
        <v>12051</v>
      </c>
      <c r="E381" s="255">
        <v>13190</v>
      </c>
      <c r="F381" s="256">
        <f>0</f>
        <v>0</v>
      </c>
      <c r="G381" s="256">
        <f>3597.48446</f>
        <v>3597.4844600000001</v>
      </c>
      <c r="H381" s="256">
        <f t="shared" ref="H381:H385" si="18">E381-G381</f>
        <v>9592.5155400000003</v>
      </c>
      <c r="I381" s="256">
        <f>1619.98708</f>
        <v>1619.9870800000001</v>
      </c>
      <c r="J381" s="130"/>
    </row>
    <row r="382" spans="1:10" ht="14.1" customHeight="1" x14ac:dyDescent="0.25">
      <c r="A382" s="217"/>
      <c r="B382" s="72"/>
      <c r="C382" s="259" t="s">
        <v>21</v>
      </c>
      <c r="D382" s="255">
        <v>3136</v>
      </c>
      <c r="E382" s="255">
        <v>3433</v>
      </c>
      <c r="F382" s="256">
        <f>0</f>
        <v>0</v>
      </c>
      <c r="G382" s="256">
        <f>830.91015</f>
        <v>830.91015000000004</v>
      </c>
      <c r="H382" s="256">
        <f t="shared" si="18"/>
        <v>2602.0898499999998</v>
      </c>
      <c r="I382" s="256">
        <f>764.7831</f>
        <v>764.78309999999999</v>
      </c>
      <c r="J382" s="130"/>
    </row>
    <row r="383" spans="1:10" ht="14.1" customHeight="1" x14ac:dyDescent="0.25">
      <c r="A383" s="217"/>
      <c r="B383" s="72"/>
      <c r="C383" s="259" t="s">
        <v>100</v>
      </c>
      <c r="D383" s="255">
        <v>1454</v>
      </c>
      <c r="E383" s="255">
        <v>1483</v>
      </c>
      <c r="F383" s="256">
        <f>18.6024</f>
        <v>18.602399999999999</v>
      </c>
      <c r="G383" s="256">
        <f>882.00145</f>
        <v>882.00144999999998</v>
      </c>
      <c r="H383" s="256">
        <f t="shared" si="18"/>
        <v>600.99855000000002</v>
      </c>
      <c r="I383" s="256">
        <f>907.26529</f>
        <v>907.26529000000005</v>
      </c>
      <c r="J383" s="130"/>
    </row>
    <row r="384" spans="1:10" ht="14.1" customHeight="1" x14ac:dyDescent="0.25">
      <c r="A384" s="217"/>
      <c r="B384" s="72"/>
      <c r="C384" s="261" t="s">
        <v>105</v>
      </c>
      <c r="D384" s="262">
        <v>4867</v>
      </c>
      <c r="E384" s="262">
        <v>4863</v>
      </c>
      <c r="F384" s="256">
        <f>66.6098</f>
        <v>66.609800000000007</v>
      </c>
      <c r="G384" s="256">
        <f>184.32806</f>
        <v>184.32805999999999</v>
      </c>
      <c r="H384" s="256">
        <f t="shared" si="18"/>
        <v>4678.6719400000002</v>
      </c>
      <c r="I384" s="256">
        <f>319.7417</f>
        <v>319.74169999999998</v>
      </c>
      <c r="J384" s="130"/>
    </row>
    <row r="385" spans="1:10" ht="14.1" customHeight="1" x14ac:dyDescent="0.25">
      <c r="A385" s="217"/>
      <c r="B385" s="72"/>
      <c r="C385" s="264" t="s">
        <v>59</v>
      </c>
      <c r="D385" s="265">
        <v>5500</v>
      </c>
      <c r="E385" s="265">
        <v>5500</v>
      </c>
      <c r="F385" s="267">
        <f>223.17422</f>
        <v>223.17421999999999</v>
      </c>
      <c r="G385" s="267">
        <f>897.47298</f>
        <v>897.47298000000001</v>
      </c>
      <c r="H385" s="267">
        <f t="shared" si="18"/>
        <v>4602.5270199999995</v>
      </c>
      <c r="I385" s="267">
        <f>2699.6733</f>
        <v>2699.6732999999999</v>
      </c>
      <c r="J385" s="130"/>
    </row>
    <row r="386" spans="1:10" ht="14.1" customHeight="1" x14ac:dyDescent="0.25">
      <c r="A386" s="217"/>
      <c r="B386" s="72"/>
      <c r="C386" s="246" t="s">
        <v>22</v>
      </c>
      <c r="D386" s="250">
        <v>8000</v>
      </c>
      <c r="E386" s="250">
        <v>8000</v>
      </c>
      <c r="F386" s="268">
        <f>F388+F387</f>
        <v>23.798020000000001</v>
      </c>
      <c r="G386" s="268">
        <f>G388+G387</f>
        <v>1333.6846700000001</v>
      </c>
      <c r="H386" s="268">
        <f>E386-G386</f>
        <v>6666.3153299999994</v>
      </c>
      <c r="I386" s="268">
        <f>I388+I387</f>
        <v>1659.4005299999999</v>
      </c>
      <c r="J386" s="130"/>
    </row>
    <row r="387" spans="1:10" ht="14.1" customHeight="1" x14ac:dyDescent="0.25">
      <c r="A387" s="217"/>
      <c r="B387" s="72"/>
      <c r="C387" s="259" t="s">
        <v>53</v>
      </c>
      <c r="D387" s="270"/>
      <c r="E387" s="255"/>
      <c r="F387" s="256">
        <f>0</f>
        <v>0</v>
      </c>
      <c r="G387" s="256">
        <f>518.31711</f>
        <v>518.31710999999996</v>
      </c>
      <c r="H387" s="256"/>
      <c r="I387" s="256">
        <f>746.70325</f>
        <v>746.70325000000003</v>
      </c>
      <c r="J387" s="130"/>
    </row>
    <row r="388" spans="1:10" ht="14.1" customHeight="1" x14ac:dyDescent="0.25">
      <c r="A388" s="217"/>
      <c r="B388" s="72"/>
      <c r="C388" s="272" t="s">
        <v>106</v>
      </c>
      <c r="D388" s="273"/>
      <c r="E388" s="276"/>
      <c r="F388" s="277">
        <f>23.79802</f>
        <v>23.798020000000001</v>
      </c>
      <c r="G388" s="277">
        <f>815.36756</f>
        <v>815.36756000000003</v>
      </c>
      <c r="H388" s="277"/>
      <c r="I388" s="277">
        <f>912.69728</f>
        <v>912.69727999999998</v>
      </c>
      <c r="J388" s="130"/>
    </row>
    <row r="389" spans="1:10" ht="14.1" customHeight="1" x14ac:dyDescent="0.25">
      <c r="A389" s="217"/>
      <c r="B389" s="72"/>
      <c r="C389" s="264" t="s">
        <v>34</v>
      </c>
      <c r="D389" s="265">
        <v>13</v>
      </c>
      <c r="E389" s="265">
        <v>13</v>
      </c>
      <c r="F389" s="267">
        <f>0</f>
        <v>0</v>
      </c>
      <c r="G389" s="267">
        <f>0.0264</f>
        <v>2.64E-2</v>
      </c>
      <c r="H389" s="267">
        <f>E389-G389</f>
        <v>12.973599999999999</v>
      </c>
      <c r="I389" s="267">
        <f>0.0651</f>
        <v>6.5100000000000005E-2</v>
      </c>
      <c r="J389" s="130"/>
    </row>
    <row r="390" spans="1:10" ht="14.1" customHeight="1" x14ac:dyDescent="0.25">
      <c r="A390" s="217"/>
      <c r="B390" s="72"/>
      <c r="C390" s="278" t="s">
        <v>107</v>
      </c>
      <c r="D390" s="281"/>
      <c r="E390" s="282"/>
      <c r="F390" s="267">
        <f>0.1152</f>
        <v>0.1152</v>
      </c>
      <c r="G390" s="267">
        <f>4.49948</f>
        <v>4.4994800000000001</v>
      </c>
      <c r="H390" s="267">
        <f>E390-G390</f>
        <v>-4.4994800000000001</v>
      </c>
      <c r="I390" s="267">
        <f>23.11744</f>
        <v>23.117439999999998</v>
      </c>
      <c r="J390" s="130"/>
    </row>
    <row r="391" spans="1:10" ht="19.5" customHeight="1" x14ac:dyDescent="0.25">
      <c r="A391" s="217"/>
      <c r="B391" s="72"/>
      <c r="C391" s="284" t="s">
        <v>40</v>
      </c>
      <c r="D391" s="285">
        <f>D380+D385+D386+D389+D390</f>
        <v>35021</v>
      </c>
      <c r="E391" s="285">
        <v>36482</v>
      </c>
      <c r="F391" s="286">
        <f t="shared" ref="F391:I391" si="19">F380+F385+F386+F389+F390</f>
        <v>332.29964000000001</v>
      </c>
      <c r="G391" s="286">
        <f t="shared" si="19"/>
        <v>7730.4076500000019</v>
      </c>
      <c r="H391" s="286">
        <f>H380+H385+H386+H389+H390</f>
        <v>28751.592350000003</v>
      </c>
      <c r="I391" s="286">
        <f t="shared" si="19"/>
        <v>7994.0335399999994</v>
      </c>
      <c r="J391" s="130"/>
    </row>
    <row r="392" spans="1:10" ht="14.1" customHeight="1" x14ac:dyDescent="0.25">
      <c r="A392" s="217"/>
      <c r="B392" s="72"/>
      <c r="C392" s="161" t="s">
        <v>108</v>
      </c>
      <c r="D392" s="288"/>
      <c r="E392" s="288"/>
      <c r="F392" s="4"/>
      <c r="G392" s="4"/>
      <c r="H392" s="5"/>
      <c r="I392" s="5"/>
      <c r="J392" s="130"/>
    </row>
    <row r="393" spans="1:10" ht="14.1" customHeight="1" x14ac:dyDescent="0.25">
      <c r="A393" s="217"/>
      <c r="B393" s="72"/>
      <c r="C393" s="101" t="s">
        <v>139</v>
      </c>
      <c r="D393" s="288"/>
      <c r="E393" s="288"/>
      <c r="F393" s="4"/>
      <c r="G393" s="4"/>
      <c r="H393" s="7"/>
      <c r="I393" s="5"/>
      <c r="J393" s="130"/>
    </row>
    <row r="394" spans="1:10" ht="14.1" customHeight="1" x14ac:dyDescent="0.25">
      <c r="A394" s="217"/>
      <c r="B394" s="72"/>
      <c r="C394" s="101" t="s">
        <v>138</v>
      </c>
      <c r="D394" s="288"/>
      <c r="E394" s="288"/>
      <c r="F394" s="4"/>
      <c r="G394" s="4"/>
      <c r="H394" s="5"/>
      <c r="I394" s="7"/>
      <c r="J394" s="130"/>
    </row>
    <row r="395" spans="1:10" ht="15.75" customHeight="1" x14ac:dyDescent="0.25">
      <c r="A395" s="217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25">
      <c r="A396" s="217"/>
      <c r="B396" s="150" t="s">
        <v>116</v>
      </c>
      <c r="C396" s="14"/>
      <c r="D396" s="1"/>
      <c r="E396" s="1"/>
      <c r="F396" s="1"/>
      <c r="G396" s="1"/>
      <c r="H396" s="1"/>
      <c r="I396" s="1"/>
      <c r="J396" s="150"/>
    </row>
    <row r="397" spans="1:10" ht="294.75" customHeight="1" x14ac:dyDescent="0.25">
      <c r="A397" s="217"/>
      <c r="B397" s="150" t="s">
        <v>116</v>
      </c>
      <c r="C397" s="14"/>
      <c r="D397" s="1"/>
      <c r="E397" s="1"/>
      <c r="F397" s="1"/>
      <c r="G397" s="1"/>
      <c r="H397" s="1"/>
      <c r="I397" s="1"/>
      <c r="J397" s="150"/>
    </row>
    <row r="398" spans="1:10" ht="14.1" customHeight="1" x14ac:dyDescent="0.25">
      <c r="A398" s="217"/>
      <c r="C398" s="150" t="s">
        <v>116</v>
      </c>
      <c r="D398" s="156"/>
    </row>
    <row r="399" spans="1:10" ht="14.1" customHeight="1" x14ac:dyDescent="0.25">
      <c r="A399" s="217"/>
      <c r="B399" s="123"/>
      <c r="C399" s="238"/>
      <c r="D399" s="17"/>
      <c r="E399" s="238"/>
      <c r="F399" s="238"/>
      <c r="G399" s="238"/>
      <c r="H399" s="238"/>
      <c r="I399" s="238"/>
      <c r="J399" s="60"/>
    </row>
    <row r="400" spans="1:10" ht="14.1" customHeight="1" x14ac:dyDescent="0.25">
      <c r="A400" s="217"/>
      <c r="B400" s="72"/>
      <c r="C400" s="218" t="s">
        <v>109</v>
      </c>
      <c r="D400" s="156"/>
      <c r="E400" s="150"/>
      <c r="G400" s="150"/>
      <c r="H400" s="150"/>
      <c r="I400" s="150"/>
      <c r="J400" s="130"/>
    </row>
    <row r="401" spans="1:10" ht="14.1" customHeight="1" x14ac:dyDescent="0.25">
      <c r="A401" s="217"/>
      <c r="B401" s="72"/>
      <c r="C401" s="150"/>
      <c r="D401" s="156"/>
      <c r="E401" s="150"/>
      <c r="G401" s="150"/>
      <c r="H401" s="150"/>
      <c r="I401" s="150"/>
      <c r="J401" s="130"/>
    </row>
    <row r="402" spans="1:10" ht="14.1" customHeight="1" x14ac:dyDescent="0.25">
      <c r="A402" s="217"/>
      <c r="B402" s="72"/>
      <c r="C402" s="149" t="s">
        <v>110</v>
      </c>
      <c r="D402" s="185"/>
      <c r="E402" s="150"/>
      <c r="F402" s="150"/>
      <c r="G402" s="150"/>
      <c r="H402" s="150"/>
      <c r="I402" s="150"/>
      <c r="J402" s="130"/>
    </row>
    <row r="403" spans="1:10" ht="14.1" customHeight="1" x14ac:dyDescent="0.25">
      <c r="A403" s="217"/>
      <c r="B403" s="72"/>
      <c r="C403" s="258" t="s">
        <v>6</v>
      </c>
      <c r="D403" s="269">
        <v>3530</v>
      </c>
      <c r="E403" s="150"/>
      <c r="F403" s="150"/>
      <c r="G403" s="150"/>
      <c r="H403" s="150"/>
      <c r="I403" s="150"/>
      <c r="J403" s="130"/>
    </row>
    <row r="404" spans="1:10" ht="14.1" customHeight="1" x14ac:dyDescent="0.25">
      <c r="A404" s="217"/>
      <c r="B404" s="72"/>
      <c r="C404" s="247" t="s">
        <v>91</v>
      </c>
      <c r="D404" s="46">
        <v>2423</v>
      </c>
      <c r="E404" s="150"/>
      <c r="G404" s="150"/>
      <c r="H404" s="150"/>
      <c r="I404" s="150"/>
      <c r="J404" s="130"/>
    </row>
    <row r="405" spans="1:10" ht="14.1" customHeight="1" x14ac:dyDescent="0.25">
      <c r="A405" s="217"/>
      <c r="B405" s="72"/>
      <c r="C405" s="247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" customHeight="1" x14ac:dyDescent="0.25">
      <c r="A406" s="217"/>
      <c r="B406" s="72"/>
      <c r="C406" s="57" t="s">
        <v>49</v>
      </c>
      <c r="D406" s="35">
        <v>6076</v>
      </c>
      <c r="E406" s="150"/>
      <c r="F406" s="150"/>
      <c r="G406" s="150"/>
      <c r="H406" s="150"/>
      <c r="I406" s="150"/>
      <c r="J406" s="130"/>
    </row>
    <row r="407" spans="1:10" ht="14.1" customHeight="1" x14ac:dyDescent="0.25">
      <c r="A407" s="217"/>
      <c r="B407" s="72"/>
      <c r="C407" s="291" t="s">
        <v>121</v>
      </c>
      <c r="D407" s="291"/>
      <c r="E407" s="291"/>
      <c r="F407" s="291"/>
      <c r="G407" s="291"/>
      <c r="H407" s="291"/>
      <c r="I407" s="150"/>
      <c r="J407" s="130"/>
    </row>
    <row r="408" spans="1:10" ht="14.1" customHeight="1" x14ac:dyDescent="0.25">
      <c r="A408" s="217"/>
      <c r="B408" s="72"/>
      <c r="C408" s="291"/>
      <c r="D408" s="291"/>
      <c r="E408" s="291"/>
      <c r="F408" s="291"/>
      <c r="G408" s="291"/>
      <c r="H408" s="291"/>
      <c r="I408" s="150"/>
      <c r="J408" s="130"/>
    </row>
    <row r="409" spans="1:10" ht="14.1" customHeight="1" x14ac:dyDescent="0.25">
      <c r="A409" s="217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" customHeight="1" x14ac:dyDescent="0.25">
      <c r="A410" s="217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25">
      <c r="A411" s="217"/>
      <c r="B411" s="230"/>
      <c r="C411" s="233" t="s">
        <v>15</v>
      </c>
      <c r="D411" s="233"/>
      <c r="E411" s="233"/>
      <c r="F411" s="233"/>
      <c r="G411" s="233"/>
      <c r="H411" s="233"/>
      <c r="I411" s="233"/>
      <c r="J411" s="237"/>
    </row>
    <row r="412" spans="1:10" ht="78" customHeight="1" x14ac:dyDescent="0.25">
      <c r="A412" s="217"/>
      <c r="B412" s="198"/>
      <c r="C412" s="20" t="s">
        <v>111</v>
      </c>
      <c r="D412" s="22" t="s">
        <v>112</v>
      </c>
      <c r="E412" s="20" t="s">
        <v>147</v>
      </c>
      <c r="F412" s="20" t="s">
        <v>148</v>
      </c>
      <c r="G412" s="25" t="s">
        <v>149</v>
      </c>
      <c r="H412" s="20" t="s">
        <v>150</v>
      </c>
      <c r="I412" s="223"/>
      <c r="J412" s="13"/>
    </row>
    <row r="413" spans="1:10" ht="14.1" customHeight="1" x14ac:dyDescent="0.25">
      <c r="A413" s="217"/>
      <c r="B413" s="72"/>
      <c r="C413" s="264" t="s">
        <v>113</v>
      </c>
      <c r="D413" s="204">
        <v>1235</v>
      </c>
      <c r="E413" s="26">
        <f>SUM(E414:E415)</f>
        <v>0</v>
      </c>
      <c r="F413" s="26">
        <f>SUM(F414:F415)</f>
        <v>988.40122999999994</v>
      </c>
      <c r="G413" s="85">
        <f>D413-F413</f>
        <v>246.59877000000006</v>
      </c>
      <c r="H413" s="26">
        <f>SUM(H414:H415)</f>
        <v>1838.5002400000001</v>
      </c>
      <c r="I413" s="27"/>
      <c r="J413" s="130"/>
    </row>
    <row r="414" spans="1:10" ht="14.1" customHeight="1" x14ac:dyDescent="0.25">
      <c r="A414" s="217"/>
      <c r="B414" s="72"/>
      <c r="C414" s="29" t="s">
        <v>8</v>
      </c>
      <c r="E414" s="205">
        <f>0</f>
        <v>0</v>
      </c>
      <c r="F414" s="205">
        <f>753.71223</f>
        <v>753.71222999999998</v>
      </c>
      <c r="G414" s="206"/>
      <c r="H414" s="205">
        <f>1442.8911</f>
        <v>1442.8911000000001</v>
      </c>
      <c r="I414" s="150"/>
      <c r="J414" s="130"/>
    </row>
    <row r="415" spans="1:10" ht="14.1" customHeight="1" x14ac:dyDescent="0.25">
      <c r="A415" s="217"/>
      <c r="B415" s="72"/>
      <c r="C415" s="29" t="s">
        <v>11</v>
      </c>
      <c r="D415" s="207"/>
      <c r="E415" s="208">
        <f>0</f>
        <v>0</v>
      </c>
      <c r="F415" s="208">
        <f>234.689</f>
        <v>234.68899999999999</v>
      </c>
      <c r="G415" s="209"/>
      <c r="H415" s="208">
        <f>395.60914</f>
        <v>395.60914000000002</v>
      </c>
      <c r="I415" s="150"/>
      <c r="J415" s="130"/>
    </row>
    <row r="416" spans="1:10" ht="14.1" customHeight="1" x14ac:dyDescent="0.25">
      <c r="A416" s="217"/>
      <c r="B416" s="72"/>
      <c r="C416" s="264" t="s">
        <v>114</v>
      </c>
      <c r="D416" s="10">
        <v>1060</v>
      </c>
      <c r="E416" s="26">
        <f>SUM(E417:E418)</f>
        <v>0</v>
      </c>
      <c r="F416" s="26">
        <f>SUM(F417:F418)</f>
        <v>1221.9989800000001</v>
      </c>
      <c r="G416" s="85">
        <f>D416-F416</f>
        <v>-161.99898000000007</v>
      </c>
      <c r="H416" s="26">
        <f>SUM(H417:H418)</f>
        <v>1893.54342</v>
      </c>
      <c r="I416" s="27"/>
      <c r="J416" s="130"/>
    </row>
    <row r="417" spans="1:10" ht="14.1" customHeight="1" x14ac:dyDescent="0.25">
      <c r="A417" s="217"/>
      <c r="B417" s="72"/>
      <c r="C417" s="29" t="s">
        <v>8</v>
      </c>
      <c r="D417" s="42"/>
      <c r="E417" s="30">
        <f>0</f>
        <v>0</v>
      </c>
      <c r="F417" s="30">
        <f>982.54229</f>
        <v>982.54228999999998</v>
      </c>
      <c r="G417" s="97"/>
      <c r="H417" s="30">
        <f>1541.7145</f>
        <v>1541.7145</v>
      </c>
      <c r="I417" s="150"/>
      <c r="J417" s="130"/>
    </row>
    <row r="418" spans="1:10" ht="14.1" customHeight="1" x14ac:dyDescent="0.25">
      <c r="A418" s="217"/>
      <c r="B418" s="72"/>
      <c r="C418" s="29" t="s">
        <v>11</v>
      </c>
      <c r="D418" s="220"/>
      <c r="E418" s="30">
        <f>0</f>
        <v>0</v>
      </c>
      <c r="F418" s="30">
        <f>239.45669</f>
        <v>239.45669000000001</v>
      </c>
      <c r="G418" s="108"/>
      <c r="H418" s="30">
        <f>351.82892</f>
        <v>351.82891999999998</v>
      </c>
      <c r="I418" s="150"/>
      <c r="J418" s="130"/>
    </row>
    <row r="419" spans="1:10" ht="14.1" customHeight="1" x14ac:dyDescent="0.25">
      <c r="A419" s="217"/>
      <c r="B419" s="72"/>
      <c r="C419" s="264" t="s">
        <v>115</v>
      </c>
      <c r="D419" s="10">
        <v>1235</v>
      </c>
      <c r="E419" s="36">
        <f>SUM(E420:E421)</f>
        <v>68.896000000000001</v>
      </c>
      <c r="F419" s="36">
        <f>SUM(F420:F421)</f>
        <v>709.26837999999998</v>
      </c>
      <c r="G419" s="85">
        <f>D419-F419</f>
        <v>525.73162000000002</v>
      </c>
      <c r="H419" s="36">
        <f>SUM(H420:H421)</f>
        <v>1054.10268</v>
      </c>
      <c r="I419" s="150"/>
      <c r="J419" s="130"/>
    </row>
    <row r="420" spans="1:10" ht="14.1" customHeight="1" x14ac:dyDescent="0.25">
      <c r="A420" s="217"/>
      <c r="B420" s="72"/>
      <c r="C420" s="29" t="s">
        <v>8</v>
      </c>
      <c r="D420" s="42"/>
      <c r="E420" s="30">
        <f>54.5106</f>
        <v>54.510599999999997</v>
      </c>
      <c r="F420" s="30">
        <f>495.00764</f>
        <v>495.00763999999998</v>
      </c>
      <c r="G420" s="97"/>
      <c r="H420" s="30">
        <f>750.00168</f>
        <v>750.00167999999996</v>
      </c>
      <c r="I420" s="150"/>
      <c r="J420" s="130"/>
    </row>
    <row r="421" spans="1:10" ht="14.1" customHeight="1" x14ac:dyDescent="0.25">
      <c r="A421" s="217"/>
      <c r="B421" s="72"/>
      <c r="C421" s="29" t="s">
        <v>11</v>
      </c>
      <c r="D421" s="220"/>
      <c r="E421" s="30">
        <f>14.3854</f>
        <v>14.385400000000001</v>
      </c>
      <c r="F421" s="30">
        <f>214.26074</f>
        <v>214.26074</v>
      </c>
      <c r="G421" s="108"/>
      <c r="H421" s="30">
        <f>304.101</f>
        <v>304.101</v>
      </c>
      <c r="I421" s="150"/>
      <c r="J421" s="130"/>
    </row>
    <row r="422" spans="1:10" ht="14.1" customHeight="1" x14ac:dyDescent="0.25">
      <c r="A422" s="217"/>
      <c r="B422" s="72"/>
      <c r="C422" s="278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" customHeight="1" x14ac:dyDescent="0.25">
      <c r="A423" s="217"/>
      <c r="B423" s="72"/>
      <c r="C423" s="284" t="s">
        <v>87</v>
      </c>
      <c r="D423" s="39"/>
      <c r="E423" s="40">
        <f>E413+E416+E419+E422</f>
        <v>68.896000000000001</v>
      </c>
      <c r="F423" s="40">
        <f>F413+F416+F419+F422</f>
        <v>2919.6685899999998</v>
      </c>
      <c r="G423" s="41"/>
      <c r="H423" s="40">
        <f>H413+H416+H419+H422</f>
        <v>4786.1463400000002</v>
      </c>
      <c r="I423" s="27"/>
      <c r="J423" s="130"/>
    </row>
    <row r="424" spans="1:10" ht="42" customHeight="1" x14ac:dyDescent="0.25">
      <c r="A424" s="217"/>
      <c r="B424" s="72"/>
      <c r="C424" s="292" t="s">
        <v>122</v>
      </c>
      <c r="D424" s="292"/>
      <c r="E424" s="292"/>
      <c r="F424" s="292"/>
      <c r="G424" s="292"/>
      <c r="H424" s="292"/>
      <c r="I424" s="292"/>
      <c r="J424" s="293"/>
    </row>
    <row r="425" spans="1:10" ht="14.1" customHeight="1" x14ac:dyDescent="0.25">
      <c r="A425" s="217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0" hidden="1" customHeight="1" x14ac:dyDescent="0.25"/>
    <row r="65609" ht="0" hidden="1" customHeight="1" x14ac:dyDescent="0.25"/>
    <row r="65610" ht="16.5" customHeight="1" x14ac:dyDescent="0.25"/>
  </sheetData>
  <mergeCells count="14">
    <mergeCell ref="C17:H17"/>
    <mergeCell ref="B2:J2"/>
    <mergeCell ref="B9:J9"/>
    <mergeCell ref="C11:D11"/>
    <mergeCell ref="E11:F11"/>
    <mergeCell ref="G11:H11"/>
    <mergeCell ref="C407:H408"/>
    <mergeCell ref="C424:J424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18&amp;R06.05.2024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Olav Lekve</cp:lastModifiedBy>
  <cp:lastPrinted>2022-11-14T12:51:47Z</cp:lastPrinted>
  <dcterms:created xsi:type="dcterms:W3CDTF">2022-08-01T13:23:35Z</dcterms:created>
  <dcterms:modified xsi:type="dcterms:W3CDTF">2024-05-06T13:00:10Z</dcterms:modified>
</cp:coreProperties>
</file>