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A500FDCC-12E7-4414-BB66-715ABE01E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20" i="1" l="1"/>
  <c r="F420" i="1"/>
  <c r="G420" i="1" s="1"/>
  <c r="E420" i="1"/>
  <c r="H419" i="1"/>
  <c r="H417" i="1" s="1"/>
  <c r="F419" i="1"/>
  <c r="E419" i="1"/>
  <c r="E417" i="1" s="1"/>
  <c r="H418" i="1"/>
  <c r="F418" i="1"/>
  <c r="E418" i="1"/>
  <c r="F417" i="1"/>
  <c r="G417" i="1" s="1"/>
  <c r="H416" i="1"/>
  <c r="F416" i="1"/>
  <c r="E416" i="1"/>
  <c r="H415" i="1"/>
  <c r="F415" i="1"/>
  <c r="E415" i="1"/>
  <c r="H414" i="1"/>
  <c r="F414" i="1"/>
  <c r="G414" i="1" s="1"/>
  <c r="E414" i="1"/>
  <c r="H413" i="1"/>
  <c r="F413" i="1"/>
  <c r="E413" i="1"/>
  <c r="H412" i="1"/>
  <c r="F412" i="1"/>
  <c r="F411" i="1" s="1"/>
  <c r="E412" i="1"/>
  <c r="E411" i="1" s="1"/>
  <c r="H411" i="1"/>
  <c r="H421" i="1" s="1"/>
  <c r="E389" i="1"/>
  <c r="D389" i="1"/>
  <c r="I388" i="1"/>
  <c r="G388" i="1"/>
  <c r="H388" i="1" s="1"/>
  <c r="F388" i="1"/>
  <c r="I387" i="1"/>
  <c r="G387" i="1"/>
  <c r="H387" i="1" s="1"/>
  <c r="F387" i="1"/>
  <c r="I386" i="1"/>
  <c r="G386" i="1"/>
  <c r="G384" i="1" s="1"/>
  <c r="H384" i="1" s="1"/>
  <c r="F386" i="1"/>
  <c r="F384" i="1" s="1"/>
  <c r="I385" i="1"/>
  <c r="G385" i="1"/>
  <c r="F385" i="1"/>
  <c r="I384" i="1"/>
  <c r="I383" i="1"/>
  <c r="G383" i="1"/>
  <c r="H383" i="1" s="1"/>
  <c r="F383" i="1"/>
  <c r="I382" i="1"/>
  <c r="G382" i="1"/>
  <c r="H382" i="1" s="1"/>
  <c r="F382" i="1"/>
  <c r="I381" i="1"/>
  <c r="G381" i="1"/>
  <c r="G378" i="1" s="1"/>
  <c r="G389" i="1" s="1"/>
  <c r="F381" i="1"/>
  <c r="F378" i="1" s="1"/>
  <c r="F389" i="1" s="1"/>
  <c r="I380" i="1"/>
  <c r="G380" i="1"/>
  <c r="H380" i="1" s="1"/>
  <c r="F380" i="1"/>
  <c r="I379" i="1"/>
  <c r="G379" i="1"/>
  <c r="H379" i="1" s="1"/>
  <c r="F379" i="1"/>
  <c r="I378" i="1"/>
  <c r="I389" i="1" s="1"/>
  <c r="E378" i="1"/>
  <c r="D378" i="1"/>
  <c r="H370" i="1"/>
  <c r="F370" i="1"/>
  <c r="H352" i="1"/>
  <c r="D352" i="1"/>
  <c r="G352" i="1" s="1"/>
  <c r="H351" i="1"/>
  <c r="G351" i="1"/>
  <c r="F351" i="1"/>
  <c r="E351" i="1"/>
  <c r="H350" i="1"/>
  <c r="F350" i="1"/>
  <c r="G350" i="1" s="1"/>
  <c r="E350" i="1"/>
  <c r="H349" i="1"/>
  <c r="G349" i="1"/>
  <c r="F349" i="1"/>
  <c r="E349" i="1"/>
  <c r="H348" i="1"/>
  <c r="F348" i="1"/>
  <c r="F352" i="1" s="1"/>
  <c r="E348" i="1"/>
  <c r="E352" i="1" s="1"/>
  <c r="D341" i="1"/>
  <c r="H297" i="1"/>
  <c r="H296" i="1"/>
  <c r="F296" i="1"/>
  <c r="E296" i="1"/>
  <c r="H295" i="1"/>
  <c r="F295" i="1"/>
  <c r="F297" i="1" s="1"/>
  <c r="G297" i="1" s="1"/>
  <c r="E295" i="1"/>
  <c r="H294" i="1"/>
  <c r="F294" i="1"/>
  <c r="E294" i="1"/>
  <c r="E297" i="1" s="1"/>
  <c r="E252" i="1"/>
  <c r="H251" i="1"/>
  <c r="H252" i="1" s="1"/>
  <c r="F251" i="1"/>
  <c r="E251" i="1"/>
  <c r="H250" i="1"/>
  <c r="F250" i="1"/>
  <c r="E250" i="1"/>
  <c r="H249" i="1"/>
  <c r="F249" i="1"/>
  <c r="F252" i="1" s="1"/>
  <c r="G252" i="1" s="1"/>
  <c r="E249" i="1"/>
  <c r="H207" i="1"/>
  <c r="D207" i="1"/>
  <c r="G207" i="1" s="1"/>
  <c r="H206" i="1"/>
  <c r="G206" i="1"/>
  <c r="F206" i="1"/>
  <c r="E206" i="1"/>
  <c r="H205" i="1"/>
  <c r="F205" i="1"/>
  <c r="G205" i="1" s="1"/>
  <c r="E205" i="1"/>
  <c r="H204" i="1"/>
  <c r="G204" i="1"/>
  <c r="F204" i="1"/>
  <c r="F207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 s="1"/>
  <c r="H177" i="1"/>
  <c r="G177" i="1"/>
  <c r="F177" i="1"/>
  <c r="E177" i="1"/>
  <c r="H176" i="1"/>
  <c r="F176" i="1"/>
  <c r="E176" i="1"/>
  <c r="H175" i="1"/>
  <c r="H184" i="1" s="1"/>
  <c r="F175" i="1"/>
  <c r="F184" i="1" s="1"/>
  <c r="G184" i="1" s="1"/>
  <c r="E175" i="1"/>
  <c r="E150" i="1"/>
  <c r="D150" i="1"/>
  <c r="I148" i="1"/>
  <c r="G148" i="1"/>
  <c r="H148" i="1" s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G139" i="1" s="1"/>
  <c r="F140" i="1"/>
  <c r="F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I150" i="1" s="1"/>
  <c r="G134" i="1"/>
  <c r="G133" i="1" s="1"/>
  <c r="G150" i="1" s="1"/>
  <c r="I132" i="1"/>
  <c r="H132" i="1"/>
  <c r="F132" i="1"/>
  <c r="I131" i="1"/>
  <c r="H131" i="1"/>
  <c r="G131" i="1"/>
  <c r="F131" i="1"/>
  <c r="I130" i="1"/>
  <c r="G130" i="1"/>
  <c r="H130" i="1" s="1"/>
  <c r="F130" i="1"/>
  <c r="I129" i="1"/>
  <c r="H129" i="1"/>
  <c r="H128" i="1" s="1"/>
  <c r="G129" i="1"/>
  <c r="F129" i="1"/>
  <c r="F128" i="1" s="1"/>
  <c r="F150" i="1" s="1"/>
  <c r="I128" i="1"/>
  <c r="G128" i="1"/>
  <c r="C126" i="1"/>
  <c r="E107" i="1"/>
  <c r="I106" i="1"/>
  <c r="G106" i="1"/>
  <c r="H106" i="1" s="1"/>
  <c r="F106" i="1"/>
  <c r="I105" i="1"/>
  <c r="G105" i="1"/>
  <c r="H105" i="1" s="1"/>
  <c r="F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G96" i="1" s="1"/>
  <c r="G95" i="1" s="1"/>
  <c r="F98" i="1"/>
  <c r="I97" i="1"/>
  <c r="I96" i="1" s="1"/>
  <c r="I95" i="1" s="1"/>
  <c r="G97" i="1"/>
  <c r="H97" i="1" s="1"/>
  <c r="F97" i="1"/>
  <c r="F96" i="1" s="1"/>
  <c r="F95" i="1" s="1"/>
  <c r="D96" i="1"/>
  <c r="D95" i="1" s="1"/>
  <c r="D107" i="1" s="1"/>
  <c r="I94" i="1"/>
  <c r="I92" i="1" s="1"/>
  <c r="G94" i="1"/>
  <c r="H94" i="1" s="1"/>
  <c r="F94" i="1"/>
  <c r="I93" i="1"/>
  <c r="G93" i="1"/>
  <c r="H93" i="1" s="1"/>
  <c r="F93" i="1"/>
  <c r="G92" i="1"/>
  <c r="G107" i="1" s="1"/>
  <c r="F92" i="1"/>
  <c r="C89" i="1"/>
  <c r="H85" i="1"/>
  <c r="F85" i="1"/>
  <c r="D85" i="1"/>
  <c r="G61" i="1"/>
  <c r="G60" i="1"/>
  <c r="H55" i="1"/>
  <c r="F55" i="1"/>
  <c r="G55" i="1" s="1"/>
  <c r="E55" i="1"/>
  <c r="F32" i="1" s="1"/>
  <c r="E44" i="1"/>
  <c r="D44" i="1"/>
  <c r="I43" i="1"/>
  <c r="H43" i="1"/>
  <c r="G43" i="1"/>
  <c r="F43" i="1"/>
  <c r="H42" i="1"/>
  <c r="I41" i="1"/>
  <c r="H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I34" i="1" s="1"/>
  <c r="G35" i="1"/>
  <c r="G34" i="1" s="1"/>
  <c r="F35" i="1"/>
  <c r="F34" i="1"/>
  <c r="I33" i="1"/>
  <c r="H33" i="1"/>
  <c r="G33" i="1"/>
  <c r="F33" i="1"/>
  <c r="I32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H25" i="1"/>
  <c r="G25" i="1"/>
  <c r="F25" i="1"/>
  <c r="I24" i="1"/>
  <c r="I23" i="1" s="1"/>
  <c r="H24" i="1"/>
  <c r="G24" i="1"/>
  <c r="F24" i="1"/>
  <c r="F23" i="1" s="1"/>
  <c r="H23" i="1"/>
  <c r="G23" i="1"/>
  <c r="H16" i="1"/>
  <c r="F16" i="1"/>
  <c r="D16" i="1"/>
  <c r="H134" i="1" l="1"/>
  <c r="I27" i="1"/>
  <c r="I26" i="1" s="1"/>
  <c r="I44" i="1" s="1"/>
  <c r="F27" i="1"/>
  <c r="F26" i="1" s="1"/>
  <c r="H27" i="1"/>
  <c r="G27" i="1"/>
  <c r="H35" i="1"/>
  <c r="F421" i="1"/>
  <c r="G411" i="1"/>
  <c r="H96" i="1"/>
  <c r="H95" i="1" s="1"/>
  <c r="H34" i="1"/>
  <c r="G26" i="1"/>
  <c r="G44" i="1" s="1"/>
  <c r="H92" i="1"/>
  <c r="E184" i="1"/>
  <c r="I107" i="1"/>
  <c r="F44" i="1"/>
  <c r="F107" i="1"/>
  <c r="E421" i="1"/>
  <c r="H98" i="1"/>
  <c r="H381" i="1"/>
  <c r="H378" i="1" s="1"/>
  <c r="H389" i="1" s="1"/>
  <c r="G175" i="1"/>
  <c r="H140" i="1"/>
  <c r="H139" i="1" s="1"/>
  <c r="G348" i="1"/>
  <c r="H133" i="1" l="1"/>
  <c r="H150" i="1" s="1"/>
  <c r="H26" i="1"/>
  <c r="H44" i="1" s="1"/>
  <c r="H107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<sst xmlns="http://schemas.openxmlformats.org/spreadsheetml/2006/main" count="358" uniqueCount="150">
  <si>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</si>
  <si>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</si>
  <si>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</si>
  <si>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</si>
  <si>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</si>
  <si>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</si>
  <si>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</si>
  <si>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</si>
  <si>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</si>
  <si>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</si>
  <si>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</si>
  <si>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</si>
  <si>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</si>
  <si>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</si>
  <si>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</si>
  <si>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</si>
  <si>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</si>
  <si>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</si>
  <si>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</si>
  <si>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</si>
  <si>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</si>
  <si>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</si>
  <si>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</si>
  <si>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</si>
  <si>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</si>
  <si>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</si>
  <si>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</si>
  <si>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</si>
  <si>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</si>
  <si>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</si>
  <si>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</si>
  <si>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</si>
  <si>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</si>
  <si>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</si>
  <si>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</si>
  <si>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</si>
  <si>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</si>
  <si>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</si>
  <si>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</si>
  <si>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</si>
  <si>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</si>
  <si>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</si>
  <si>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</si>
  <si>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</si>
  <si>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</si>
  <si>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</si>
  <si>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</si>
  <si>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</si>
  <si>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</si>
  <si>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</si>
  <si>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</si>
  <si>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</si>
  <si>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</si>
  <si>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</si>
  <si>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</si>
  <si>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</si>
  <si>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</si>
  <si>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</si>
  <si>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</si>
  <si>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</si>
  <si>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</si>
  <si>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</si>
  <si>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</si>
  <si>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</si>
  <si>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</si>
  <si>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</si>
  <si>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</si>
  <si>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</si>
  <si>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</si>
  <si>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</si>
  <si>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</si>
  <si>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</si>
  <si>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</si>
  <si>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3</t>
    </r>
    <r>
      <rPr>
        <sz val="9"/>
        <color indexed="8"/>
        <rFont val="Calibri"/>
        <family val="2"/>
      </rPr>
      <t xml:space="preserve"> Det er fisket 2 933 tonn sei med konvensjonelle redskap som belastes notkvoten.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</si>
  <si>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</si>
  <si>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</si>
  <si>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</si>
  <si>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</si>
  <si>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</si>
  <si>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</si>
  <si>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</si>
  <si>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</si>
  <si>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</si>
  <si>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</si>
  <si>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</si>
  <si>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</si>
  <si>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</si>
  <si>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</si>
  <si>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</si>
  <si>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</si>
  <si>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</si>
  <si>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</si>
  <si>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</si>
  <si>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</si>
  <si>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</si>
  <si>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</si>
  <si>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</si>
  <si>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</si>
  <si>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</si>
  <si>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</si>
  <si>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</si>
  <si>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</si>
  <si>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</si>
  <si>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</si>
  <si>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</si>
  <si>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</si>
  <si>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</si>
  <si>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</si>
  <si>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</si>
  <si>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</si>
  <si>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</si>
  <si>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</si>
  <si>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</si>
  <si>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</si>
  <si>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</si>
  <si>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</si>
  <si>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</si>
  <si>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</si>
  <si>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</si>
  <si>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</si>
  <si>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</si>
  <si>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</si>
  <si>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</si>
  <si>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</si>
  <si>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</si>
  <si>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</si>
  <si>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</si>
  <si>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</si>
  <si>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</si>
  <si>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</si>
  <si>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</si>
  <si>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</si>
  <si>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</si>
  <si>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</si>
  <si>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</si>
  <si>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</si>
  <si>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</si>
  <si>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</si>
  <si>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</si>
  <si>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</si>
  <si>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</si>
  <si>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</si>
  <si>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</si>
  <si>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UKE 47</t>
  </si>
  <si>
    <t>FANGST T.O.M UKE 47</t>
  </si>
  <si>
    <t>RESTKVOTER UKE 47</t>
  </si>
  <si>
    <t>FANGST T.O.M UKE 47 2022</t>
  </si>
  <si>
    <r>
      <t xml:space="preserve">3 </t>
    </r>
    <r>
      <rPr>
        <sz val="9"/>
        <color indexed="8"/>
        <rFont val="Calibri"/>
        <family val="2"/>
      </rPr>
      <t>Registrert rekreasjonsfiske utgjør 729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</si>
  <si>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69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</si>
  <si>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699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</si>
</sst>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8" t="s">
        <v>140</v>
      </c>
      <c r="C2" s="299"/>
      <c r="D2" s="299"/>
      <c r="E2" s="299"/>
      <c r="F2" s="299"/>
      <c r="G2" s="299"/>
      <c r="H2" s="299"/>
      <c r="I2" s="299"/>
      <c r="J2" s="300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5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1"/>
      <c r="C9" s="302"/>
      <c r="D9" s="302"/>
      <c r="E9" s="302"/>
      <c r="F9" s="302"/>
      <c r="G9" s="302"/>
      <c r="H9" s="302"/>
      <c r="I9" s="302"/>
      <c r="J9" s="303"/>
    </row>
    <row r="10" spans="1:10" ht="12" customHeight="1" x14ac:dyDescent="0.25">
      <c r="A10" s="1"/>
      <c r="B10" s="250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5" t="s">
        <v>1</v>
      </c>
      <c r="D11" s="296"/>
      <c r="E11" s="295" t="s">
        <v>2</v>
      </c>
      <c r="F11" s="296"/>
      <c r="G11" s="295" t="s">
        <v>3</v>
      </c>
      <c r="H11" s="296"/>
      <c r="I11" s="178"/>
      <c r="J11" s="240"/>
    </row>
    <row r="12" spans="1:10" ht="14.1" customHeight="1" x14ac:dyDescent="0.25">
      <c r="A12" s="1"/>
      <c r="B12" s="250"/>
      <c r="C12" s="99"/>
      <c r="D12" s="99"/>
      <c r="E12" s="99" t="s">
        <v>4</v>
      </c>
      <c r="F12" s="114">
        <v>79967</v>
      </c>
      <c r="G12" s="115" t="s">
        <v>5</v>
      </c>
      <c r="H12" s="114">
        <v>21768</v>
      </c>
      <c r="I12" s="178"/>
      <c r="J12" s="240"/>
    </row>
    <row r="13" spans="1:10" ht="15.75" customHeight="1" x14ac:dyDescent="0.25">
      <c r="A13" s="1"/>
      <c r="B13" s="250"/>
      <c r="C13" s="115" t="s">
        <v>6</v>
      </c>
      <c r="D13" s="117">
        <v>260782</v>
      </c>
      <c r="E13" s="115" t="s">
        <v>7</v>
      </c>
      <c r="F13" s="117">
        <v>169930</v>
      </c>
      <c r="G13" s="115" t="s">
        <v>8</v>
      </c>
      <c r="H13" s="117">
        <v>121832</v>
      </c>
      <c r="I13" s="178"/>
      <c r="J13" s="240"/>
    </row>
    <row r="14" spans="1:10" ht="14.25" customHeight="1" x14ac:dyDescent="0.25">
      <c r="A14" s="1"/>
      <c r="B14" s="250"/>
      <c r="C14" s="115" t="s">
        <v>9</v>
      </c>
      <c r="D14" s="117">
        <v>248782</v>
      </c>
      <c r="E14" s="115" t="s">
        <v>10</v>
      </c>
      <c r="F14" s="117">
        <v>19554</v>
      </c>
      <c r="G14" s="115" t="s">
        <v>11</v>
      </c>
      <c r="H14" s="117">
        <v>15290</v>
      </c>
      <c r="I14" s="178"/>
      <c r="J14" s="240"/>
    </row>
    <row r="15" spans="1:10" ht="15.75" customHeight="1" x14ac:dyDescent="0.25">
      <c r="A15" s="1"/>
      <c r="B15" s="250"/>
      <c r="C15" s="115" t="s">
        <v>76</v>
      </c>
      <c r="D15" s="117">
        <v>78220</v>
      </c>
      <c r="E15" s="147"/>
      <c r="F15" s="166"/>
      <c r="G15" s="165" t="s">
        <v>12</v>
      </c>
      <c r="H15" s="287">
        <v>11040</v>
      </c>
      <c r="I15" s="178"/>
      <c r="J15" s="240"/>
    </row>
    <row r="16" spans="1:10" ht="14.1" customHeight="1" x14ac:dyDescent="0.25">
      <c r="A16" s="1"/>
      <c r="B16" s="250"/>
      <c r="C16" s="177" t="s">
        <v>13</v>
      </c>
      <c r="D16" s="189">
        <f>SUM(D13:D15)</f>
        <v>587784</v>
      </c>
      <c r="E16" s="177" t="s">
        <v>14</v>
      </c>
      <c r="F16" s="189">
        <f>SUM(F12:F15)</f>
        <v>269451</v>
      </c>
      <c r="G16" s="177" t="s">
        <v>7</v>
      </c>
      <c r="H16" s="189">
        <f>SUM(H12:H15)</f>
        <v>169930</v>
      </c>
      <c r="J16" s="240"/>
    </row>
    <row r="17" spans="1:10" ht="15" customHeight="1" x14ac:dyDescent="0.25">
      <c r="A17" s="101"/>
      <c r="B17" s="24"/>
      <c r="C17" s="101" t="s">
        <v>136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7"/>
      <c r="C18" s="268"/>
      <c r="D18" s="268"/>
      <c r="E18" s="109"/>
      <c r="F18" s="268"/>
      <c r="G18" s="268"/>
      <c r="H18" s="268"/>
      <c r="I18" s="268"/>
      <c r="J18" s="184"/>
    </row>
    <row r="19" spans="1:10" ht="15" customHeight="1" x14ac:dyDescent="0.25">
      <c r="A19" s="1"/>
      <c r="B19" s="250"/>
      <c r="C19" s="254"/>
      <c r="D19" s="254"/>
      <c r="E19" s="271"/>
      <c r="F19" s="254"/>
      <c r="G19" s="254"/>
      <c r="H19" s="254"/>
      <c r="I19" s="254"/>
      <c r="J19" s="3"/>
    </row>
    <row r="20" spans="1:10" ht="15" customHeight="1" x14ac:dyDescent="0.25">
      <c r="A20" s="1"/>
      <c r="B20" s="250"/>
      <c r="C20" s="18" t="s">
        <v>15</v>
      </c>
      <c r="D20" s="254"/>
      <c r="E20" s="271"/>
      <c r="F20" s="254"/>
      <c r="G20" s="254"/>
      <c r="H20" s="202"/>
      <c r="I20" s="254"/>
      <c r="J20" s="3"/>
    </row>
    <row r="21" spans="1:10" ht="12" customHeight="1" x14ac:dyDescent="0.25">
      <c r="A21" s="1"/>
      <c r="B21" s="250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143</v>
      </c>
      <c r="G22" s="68" t="s">
        <v>144</v>
      </c>
      <c r="H22" s="68" t="s">
        <v>145</v>
      </c>
      <c r="I22" s="68" t="s">
        <v>146</v>
      </c>
      <c r="J22" s="276"/>
    </row>
    <row r="23" spans="1:10" ht="14.1" customHeight="1" x14ac:dyDescent="0.25">
      <c r="A23" s="1"/>
      <c r="B23" s="250"/>
      <c r="C23" s="16" t="s">
        <v>19</v>
      </c>
      <c r="D23" s="28">
        <v>79967</v>
      </c>
      <c r="E23" s="28">
        <v>86549</v>
      </c>
      <c r="F23" s="28">
        <f t="shared" ref="F23:I23" si="0">F25+F24</f>
        <v>1027.6188500000001</v>
      </c>
      <c r="G23" s="28">
        <f t="shared" si="0"/>
        <v>77745.498739999995</v>
      </c>
      <c r="H23" s="11">
        <f t="shared" si="0"/>
        <v>8803.5012600000045</v>
      </c>
      <c r="I23" s="11">
        <f t="shared" si="0"/>
        <v>90239.068140000003</v>
      </c>
      <c r="J23" s="240"/>
    </row>
    <row r="24" spans="1:10" ht="14.1" customHeight="1" x14ac:dyDescent="0.25">
      <c r="A24" s="1"/>
      <c r="B24" s="250"/>
      <c r="C24" s="44" t="s">
        <v>20</v>
      </c>
      <c r="D24" s="45">
        <v>79217</v>
      </c>
      <c r="E24" s="45">
        <v>85767</v>
      </c>
      <c r="F24" s="23">
        <f>1019.98535</f>
        <v>1019.98535</v>
      </c>
      <c r="G24" s="23">
        <f>77076.37039</f>
        <v>77076.370389999996</v>
      </c>
      <c r="H24" s="23">
        <f>E24-G24</f>
        <v>8690.6296100000036</v>
      </c>
      <c r="I24" s="23">
        <f>89636.43934</f>
        <v>89636.439339999997</v>
      </c>
      <c r="J24" s="240"/>
    </row>
    <row r="25" spans="1:10" ht="14.1" customHeight="1" x14ac:dyDescent="0.25">
      <c r="A25" s="1"/>
      <c r="B25" s="250"/>
      <c r="C25" s="48" t="s">
        <v>21</v>
      </c>
      <c r="D25" s="49">
        <v>750</v>
      </c>
      <c r="E25" s="49">
        <v>782</v>
      </c>
      <c r="F25" s="171">
        <f>7.6335</f>
        <v>7.6334999999999997</v>
      </c>
      <c r="G25" s="23">
        <f>669.12835</f>
        <v>669.12834999999995</v>
      </c>
      <c r="H25" s="23">
        <f>E25-G25</f>
        <v>112.87165000000005</v>
      </c>
      <c r="I25" s="23">
        <f>602.6288</f>
        <v>602.62879999999996</v>
      </c>
      <c r="J25" s="240"/>
    </row>
    <row r="26" spans="1:10" ht="14.1" customHeight="1" x14ac:dyDescent="0.25">
      <c r="A26" s="1"/>
      <c r="B26" s="250"/>
      <c r="C26" s="16" t="s">
        <v>22</v>
      </c>
      <c r="D26" s="28">
        <v>175233</v>
      </c>
      <c r="E26" s="28">
        <v>197924</v>
      </c>
      <c r="F26" s="28">
        <f t="shared" ref="F26:I26" si="1">F34+F33+F27</f>
        <v>1487.8167699999999</v>
      </c>
      <c r="G26" s="11">
        <f t="shared" si="1"/>
        <v>187127.12226999999</v>
      </c>
      <c r="H26" s="11">
        <f t="shared" si="1"/>
        <v>10796.877729999997</v>
      </c>
      <c r="I26" s="11">
        <f t="shared" si="1"/>
        <v>227621.05797000002</v>
      </c>
      <c r="J26" s="240"/>
    </row>
    <row r="27" spans="1:10" ht="15" customHeight="1" x14ac:dyDescent="0.25">
      <c r="A27" s="51"/>
      <c r="B27" s="53"/>
      <c r="C27" s="56" t="s">
        <v>23</v>
      </c>
      <c r="D27" s="58">
        <v>136975</v>
      </c>
      <c r="E27" s="58">
        <v>152055</v>
      </c>
      <c r="F27" s="132">
        <f>F28+F29+F30+F31+F32</f>
        <v>1207.58593</v>
      </c>
      <c r="G27" s="132">
        <f t="shared" ref="G27:I27" si="2">G28+G29+G30+G31+G32</f>
        <v>144414.37802</v>
      </c>
      <c r="H27" s="132">
        <f t="shared" si="2"/>
        <v>7640.6219799999963</v>
      </c>
      <c r="I27" s="132">
        <f t="shared" si="2"/>
        <v>181877.23649000001</v>
      </c>
      <c r="J27" s="240"/>
    </row>
    <row r="28" spans="1:10" ht="14.1" customHeight="1" x14ac:dyDescent="0.25">
      <c r="A28" s="197"/>
      <c r="B28" s="182"/>
      <c r="C28" s="62" t="s">
        <v>24</v>
      </c>
      <c r="D28" s="63">
        <v>32925</v>
      </c>
      <c r="E28" s="63">
        <v>39550</v>
      </c>
      <c r="F28" s="203">
        <f>239.25441</f>
        <v>239.25441000000001</v>
      </c>
      <c r="G28" s="127">
        <f>38536.61832 - F57</f>
        <v>35799.618320000001</v>
      </c>
      <c r="H28" s="127">
        <f t="shared" ref="H28:H40" si="3">E28-G28</f>
        <v>3750.3816799999986</v>
      </c>
      <c r="I28" s="127">
        <f>45417.76118 - H57</f>
        <v>41517.761180000001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36657</v>
      </c>
      <c r="E29" s="63">
        <v>40836</v>
      </c>
      <c r="F29" s="127">
        <f>233.69337</f>
        <v>233.69336999999999</v>
      </c>
      <c r="G29" s="127">
        <f>41809.07391 - F58</f>
        <v>39157.073909999999</v>
      </c>
      <c r="H29" s="127">
        <f t="shared" si="3"/>
        <v>1678.9260900000008</v>
      </c>
      <c r="I29" s="127">
        <f>51455.44717 - H58</f>
        <v>49035.447169999999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33272</v>
      </c>
      <c r="E30" s="63">
        <v>37248</v>
      </c>
      <c r="F30" s="127">
        <f>175.37343</f>
        <v>175.37343000000001</v>
      </c>
      <c r="G30" s="127">
        <f>37896.46227 - F59</f>
        <v>36587.462270000004</v>
      </c>
      <c r="H30" s="127">
        <f t="shared" si="3"/>
        <v>660.53772999999637</v>
      </c>
      <c r="I30" s="127">
        <f>49144.57665 - H59</f>
        <v>47720.576650000003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24281</v>
      </c>
      <c r="E31" s="63">
        <v>24757</v>
      </c>
      <c r="F31" s="127">
        <f>208.26472</f>
        <v>208.26472000000001</v>
      </c>
      <c r="G31" s="127">
        <f>25626.2235199999 - F60</f>
        <v>24732.22352</v>
      </c>
      <c r="H31" s="127">
        <f t="shared" si="3"/>
        <v>24.776480000000447</v>
      </c>
      <c r="I31" s="127">
        <f>34533.45149 - H60</f>
        <v>33850.451489999999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9840</v>
      </c>
      <c r="E32" s="63">
        <v>9664</v>
      </c>
      <c r="F32" s="127">
        <f>E55</f>
        <v>351</v>
      </c>
      <c r="G32" s="127">
        <f>F55</f>
        <v>8138</v>
      </c>
      <c r="H32" s="127">
        <f t="shared" si="3"/>
        <v>1526</v>
      </c>
      <c r="I32" s="127">
        <f>H55</f>
        <v>9753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21768</v>
      </c>
      <c r="E33" s="58">
        <v>23517</v>
      </c>
      <c r="F33" s="132">
        <f>176.09934</f>
        <v>176.09934000000001</v>
      </c>
      <c r="G33" s="132">
        <f>20997.45585</f>
        <v>20997.455849999998</v>
      </c>
      <c r="H33" s="132">
        <f t="shared" si="3"/>
        <v>2519.5441500000015</v>
      </c>
      <c r="I33" s="132">
        <f>24135.62038</f>
        <v>24135.62038</v>
      </c>
      <c r="J33" s="65"/>
    </row>
    <row r="34" spans="1:13" ht="14.1" customHeight="1" x14ac:dyDescent="0.25">
      <c r="A34" s="66"/>
      <c r="B34" s="53"/>
      <c r="C34" s="56" t="s">
        <v>30</v>
      </c>
      <c r="D34" s="58">
        <v>16490</v>
      </c>
      <c r="E34" s="58">
        <v>22352</v>
      </c>
      <c r="F34" s="132">
        <f>F35+F36</f>
        <v>104.1315</v>
      </c>
      <c r="G34" s="132">
        <f>G35+G36</f>
        <v>21715.288400000001</v>
      </c>
      <c r="H34" s="132">
        <f t="shared" si="3"/>
        <v>636.71159999999873</v>
      </c>
      <c r="I34" s="132">
        <f>I35+I36</f>
        <v>21608.201099999998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15290</v>
      </c>
      <c r="E35" s="63">
        <v>21152</v>
      </c>
      <c r="F35" s="127">
        <f>63.1315</f>
        <v>63.131500000000003</v>
      </c>
      <c r="G35" s="132">
        <f>25289.2884 - F61 - F62</f>
        <v>20821.288400000001</v>
      </c>
      <c r="H35" s="127">
        <f t="shared" si="3"/>
        <v>330.71159999999873</v>
      </c>
      <c r="I35" s="127">
        <f>22608.2011 - H61 - H62</f>
        <v>20925.201099999998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1200</v>
      </c>
      <c r="E36" s="70">
        <v>1200</v>
      </c>
      <c r="F36" s="71">
        <f>E60</f>
        <v>41</v>
      </c>
      <c r="G36" s="71">
        <f>F60</f>
        <v>894</v>
      </c>
      <c r="H36" s="71">
        <f t="shared" si="3"/>
        <v>306</v>
      </c>
      <c r="I36" s="71">
        <f>H60</f>
        <v>683</v>
      </c>
      <c r="J36" s="65"/>
    </row>
    <row r="37" spans="1:13" ht="15.75" customHeight="1" x14ac:dyDescent="0.25">
      <c r="A37" s="1"/>
      <c r="B37" s="250"/>
      <c r="C37" s="73" t="s">
        <v>33</v>
      </c>
      <c r="D37" s="143">
        <v>3000</v>
      </c>
      <c r="E37" s="143">
        <v>3000</v>
      </c>
      <c r="F37" s="139">
        <f>0</f>
        <v>0</v>
      </c>
      <c r="G37" s="139">
        <f>746.7916</f>
        <v>746.79160000000002</v>
      </c>
      <c r="H37" s="139">
        <f t="shared" si="3"/>
        <v>2253.2084</v>
      </c>
      <c r="I37" s="139">
        <f>435.0626</f>
        <v>435.06259999999997</v>
      </c>
      <c r="J37" s="240"/>
    </row>
    <row r="38" spans="1:13" ht="14.1" customHeight="1" x14ac:dyDescent="0.25">
      <c r="A38" s="1"/>
      <c r="B38" s="250"/>
      <c r="C38" s="73" t="s">
        <v>34</v>
      </c>
      <c r="D38" s="143">
        <v>851</v>
      </c>
      <c r="E38" s="143">
        <v>851</v>
      </c>
      <c r="F38" s="98">
        <f>11.56572</f>
        <v>11.565720000000001</v>
      </c>
      <c r="G38" s="98">
        <f>588.55034</f>
        <v>588.55034000000001</v>
      </c>
      <c r="H38" s="98">
        <f t="shared" si="3"/>
        <v>262.44965999999999</v>
      </c>
      <c r="I38" s="98">
        <f>544.50004</f>
        <v>544.50004000000001</v>
      </c>
      <c r="J38" s="240"/>
    </row>
    <row r="39" spans="1:13" ht="17.25" customHeight="1" x14ac:dyDescent="0.25">
      <c r="A39" s="1"/>
      <c r="B39" s="250"/>
      <c r="C39" s="73" t="s">
        <v>35</v>
      </c>
      <c r="D39" s="143">
        <v>3000</v>
      </c>
      <c r="E39" s="143">
        <v>3000</v>
      </c>
      <c r="F39" s="98">
        <f>E61</f>
        <v>10</v>
      </c>
      <c r="G39" s="98">
        <f>F61</f>
        <v>4468</v>
      </c>
      <c r="H39" s="98">
        <f t="shared" si="3"/>
        <v>-1468</v>
      </c>
      <c r="I39" s="98">
        <f>H61</f>
        <v>1683</v>
      </c>
      <c r="J39" s="240"/>
    </row>
    <row r="40" spans="1:13" ht="17.25" customHeight="1" x14ac:dyDescent="0.25">
      <c r="A40" s="1"/>
      <c r="B40" s="250"/>
      <c r="C40" s="73" t="s">
        <v>36</v>
      </c>
      <c r="D40" s="143">
        <v>7000</v>
      </c>
      <c r="E40" s="143">
        <v>7000</v>
      </c>
      <c r="F40" s="98">
        <f>1.89054</f>
        <v>1.8905400000000001</v>
      </c>
      <c r="G40" s="98">
        <v>7000</v>
      </c>
      <c r="H40" s="98">
        <f t="shared" si="3"/>
        <v>0</v>
      </c>
      <c r="I40" s="98">
        <v>7000</v>
      </c>
      <c r="J40" s="240"/>
    </row>
    <row r="41" spans="1:13" ht="17.25" customHeight="1" x14ac:dyDescent="0.25">
      <c r="A41" s="1"/>
      <c r="B41" s="250"/>
      <c r="C41" s="73" t="s">
        <v>38</v>
      </c>
      <c r="D41" s="143">
        <v>300</v>
      </c>
      <c r="E41" s="143">
        <v>300</v>
      </c>
      <c r="F41" s="98">
        <f>1.4475</f>
        <v>1.4475</v>
      </c>
      <c r="G41" s="98">
        <f>360.0537</f>
        <v>360.05369999999999</v>
      </c>
      <c r="H41" s="98">
        <f>E41-G41</f>
        <v>-60.053699999999992</v>
      </c>
      <c r="I41" s="98">
        <f>125.81905</f>
        <v>125.81905</v>
      </c>
      <c r="J41" s="240"/>
    </row>
    <row r="42" spans="1:13" ht="17.25" customHeight="1" x14ac:dyDescent="0.25">
      <c r="A42" s="1"/>
      <c r="B42" s="250"/>
      <c r="C42" s="73" t="s">
        <v>39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0"/>
      <c r="M42" s="221"/>
    </row>
    <row r="43" spans="1:13" ht="14.1" customHeight="1" x14ac:dyDescent="0.25">
      <c r="A43" s="1"/>
      <c r="B43" s="250"/>
      <c r="C43" s="73" t="s">
        <v>40</v>
      </c>
      <c r="D43" s="143"/>
      <c r="E43" s="139"/>
      <c r="F43" s="139">
        <f>3.199</f>
        <v>3.1989999999999998</v>
      </c>
      <c r="G43" s="139">
        <f>544.43977</f>
        <v>544.43976999999995</v>
      </c>
      <c r="H43" s="139">
        <f t="shared" ref="H43" si="4">E43-G43</f>
        <v>-544.43976999999995</v>
      </c>
      <c r="I43" s="139">
        <f>64.3599</f>
        <v>64.359899999999996</v>
      </c>
      <c r="J43" s="240"/>
    </row>
    <row r="44" spans="1:13" ht="16.5" customHeight="1" x14ac:dyDescent="0.25">
      <c r="A44" s="1"/>
      <c r="B44" s="250"/>
      <c r="C44" s="74" t="s">
        <v>41</v>
      </c>
      <c r="D44" s="76">
        <f t="shared" ref="D44:I44" si="5">D23+D26+D37+D38+D39+D40+D41+D42+D43</f>
        <v>269451</v>
      </c>
      <c r="E44" s="76">
        <f t="shared" si="5"/>
        <v>298724</v>
      </c>
      <c r="F44" s="76">
        <f t="shared" si="5"/>
        <v>2543.5383800000004</v>
      </c>
      <c r="G44" s="76">
        <f t="shared" si="5"/>
        <v>278580.46042000002</v>
      </c>
      <c r="H44" s="76">
        <f t="shared" si="5"/>
        <v>20143.539579999997</v>
      </c>
      <c r="I44" s="76">
        <f t="shared" si="5"/>
        <v>327712.8677</v>
      </c>
      <c r="J44" s="240"/>
    </row>
    <row r="45" spans="1:13" ht="14.1" customHeight="1" x14ac:dyDescent="0.25">
      <c r="A45" s="101"/>
      <c r="B45" s="24"/>
      <c r="C45" s="77" t="s">
        <v>128</v>
      </c>
      <c r="D45" s="254"/>
      <c r="E45" s="254"/>
      <c r="F45" s="80"/>
      <c r="G45" s="80"/>
      <c r="H45" s="224"/>
      <c r="I45" s="224"/>
      <c r="J45" s="81"/>
    </row>
    <row r="46" spans="1:13" ht="14.1" customHeight="1" x14ac:dyDescent="0.25">
      <c r="A46" s="101"/>
      <c r="B46" s="24"/>
      <c r="C46" s="82" t="s">
        <v>42</v>
      </c>
      <c r="D46" s="254"/>
      <c r="E46" s="254"/>
      <c r="F46" s="254"/>
      <c r="G46" s="80"/>
      <c r="H46" s="178"/>
      <c r="I46" s="178"/>
      <c r="J46" s="240"/>
    </row>
    <row r="47" spans="1:13" ht="14.1" customHeight="1" x14ac:dyDescent="0.25">
      <c r="A47" s="101"/>
      <c r="B47" s="24"/>
      <c r="C47" s="161" t="s">
        <v>147</v>
      </c>
      <c r="D47" s="254"/>
      <c r="E47" s="254"/>
      <c r="F47" s="254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127</v>
      </c>
      <c r="D48" s="254"/>
      <c r="E48" s="254"/>
      <c r="F48" s="254"/>
      <c r="G48" s="254"/>
      <c r="H48" s="178"/>
      <c r="I48" s="178"/>
      <c r="J48" s="120"/>
    </row>
    <row r="49" spans="1:10" ht="14.1" customHeight="1" x14ac:dyDescent="0.25">
      <c r="A49" s="101"/>
      <c r="B49" s="24"/>
      <c r="C49" s="101" t="s">
        <v>43</v>
      </c>
      <c r="D49" s="254"/>
      <c r="E49" s="254"/>
      <c r="F49" s="254"/>
      <c r="G49" s="254"/>
      <c r="H49" s="178"/>
      <c r="I49" s="178"/>
      <c r="J49" s="120"/>
    </row>
    <row r="50" spans="1:10" ht="14.1" customHeight="1" x14ac:dyDescent="0.25">
      <c r="A50" s="101"/>
      <c r="B50" s="24"/>
      <c r="C50" s="101"/>
      <c r="D50" s="254"/>
      <c r="E50" s="254"/>
      <c r="F50" s="254"/>
      <c r="G50" s="254"/>
      <c r="H50" s="178"/>
      <c r="I50" s="178"/>
      <c r="J50" s="120"/>
    </row>
    <row r="51" spans="1:10" ht="20.25" customHeight="1" x14ac:dyDescent="0.25">
      <c r="A51" s="101"/>
      <c r="B51" s="237"/>
      <c r="C51" s="268"/>
      <c r="D51" s="268"/>
      <c r="E51" s="109"/>
      <c r="F51" s="268"/>
      <c r="G51" s="268"/>
      <c r="H51" s="268"/>
      <c r="I51" s="268"/>
      <c r="J51" s="184"/>
    </row>
    <row r="52" spans="1:10" ht="33" customHeight="1" x14ac:dyDescent="0.25">
      <c r="A52" s="101"/>
      <c r="B52" s="24"/>
      <c r="C52" s="291" t="s">
        <v>44</v>
      </c>
      <c r="D52" s="291"/>
      <c r="E52" s="291"/>
      <c r="F52" s="291"/>
      <c r="G52" s="291"/>
      <c r="H52" s="291"/>
      <c r="I52" s="83"/>
      <c r="J52" s="84"/>
    </row>
    <row r="53" spans="1:10" ht="7.5" customHeight="1" x14ac:dyDescent="0.25">
      <c r="A53" s="101"/>
      <c r="B53" s="24"/>
      <c r="C53" s="161"/>
      <c r="D53" s="254"/>
      <c r="E53" s="254"/>
      <c r="F53" s="254"/>
      <c r="G53" s="254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45</v>
      </c>
      <c r="E54" s="68" t="s">
        <v>143</v>
      </c>
      <c r="F54" s="68" t="s">
        <v>144</v>
      </c>
      <c r="G54" s="68" t="s">
        <v>145</v>
      </c>
      <c r="H54" s="68" t="s">
        <v>146</v>
      </c>
      <c r="I54" s="254"/>
      <c r="J54" s="240"/>
    </row>
    <row r="55" spans="1:10" ht="14.1" customHeight="1" x14ac:dyDescent="0.25">
      <c r="A55" s="101"/>
      <c r="B55" s="24"/>
      <c r="C55" s="16" t="s">
        <v>46</v>
      </c>
      <c r="D55" s="292">
        <v>9840</v>
      </c>
      <c r="E55" s="11">
        <f>E59+E58+E57+E56</f>
        <v>351</v>
      </c>
      <c r="F55" s="11">
        <f>F59+F58+F57+F56</f>
        <v>8138</v>
      </c>
      <c r="G55" s="292">
        <f>D55-F55</f>
        <v>1702</v>
      </c>
      <c r="H55" s="11">
        <f>H59+H58+H57+H56</f>
        <v>9753</v>
      </c>
      <c r="I55" s="254"/>
      <c r="J55" s="240"/>
    </row>
    <row r="56" spans="1:10" ht="14.1" customHeight="1" x14ac:dyDescent="0.25">
      <c r="A56" s="101"/>
      <c r="B56" s="24"/>
      <c r="C56" s="62" t="s">
        <v>24</v>
      </c>
      <c r="D56" s="293"/>
      <c r="E56" s="127">
        <v>116</v>
      </c>
      <c r="F56" s="127">
        <v>1440</v>
      </c>
      <c r="G56" s="293"/>
      <c r="H56" s="127">
        <v>2009</v>
      </c>
      <c r="I56" s="254"/>
      <c r="J56" s="240"/>
    </row>
    <row r="57" spans="1:10" ht="14.1" customHeight="1" x14ac:dyDescent="0.25">
      <c r="A57" s="101"/>
      <c r="B57" s="24"/>
      <c r="C57" s="62" t="s">
        <v>25</v>
      </c>
      <c r="D57" s="293"/>
      <c r="E57" s="127">
        <v>150</v>
      </c>
      <c r="F57" s="127">
        <v>2737</v>
      </c>
      <c r="G57" s="293"/>
      <c r="H57" s="127">
        <v>3900</v>
      </c>
      <c r="I57" s="254"/>
      <c r="J57" s="240"/>
    </row>
    <row r="58" spans="1:10" ht="14.1" customHeight="1" x14ac:dyDescent="0.25">
      <c r="A58" s="101"/>
      <c r="B58" s="24"/>
      <c r="C58" s="62" t="s">
        <v>26</v>
      </c>
      <c r="D58" s="293"/>
      <c r="E58" s="127">
        <v>56</v>
      </c>
      <c r="F58" s="127">
        <v>2652</v>
      </c>
      <c r="G58" s="293"/>
      <c r="H58" s="127">
        <v>2420</v>
      </c>
      <c r="I58" s="254"/>
      <c r="J58" s="240"/>
    </row>
    <row r="59" spans="1:10" ht="14.1" customHeight="1" x14ac:dyDescent="0.25">
      <c r="A59" s="101"/>
      <c r="B59" s="24"/>
      <c r="C59" s="87" t="s">
        <v>27</v>
      </c>
      <c r="D59" s="294"/>
      <c r="E59" s="192">
        <v>29</v>
      </c>
      <c r="F59" s="192">
        <v>1309</v>
      </c>
      <c r="G59" s="294"/>
      <c r="H59" s="192">
        <v>1424</v>
      </c>
      <c r="I59" s="254"/>
      <c r="J59" s="240"/>
    </row>
    <row r="60" spans="1:10" ht="14.1" customHeight="1" x14ac:dyDescent="0.25">
      <c r="A60" s="101"/>
      <c r="B60" s="24"/>
      <c r="C60" s="88" t="s">
        <v>47</v>
      </c>
      <c r="D60" s="95">
        <v>1200</v>
      </c>
      <c r="E60" s="95">
        <v>41</v>
      </c>
      <c r="F60" s="95">
        <v>894</v>
      </c>
      <c r="G60" s="95">
        <f>D60-F60</f>
        <v>306</v>
      </c>
      <c r="H60" s="95">
        <v>683</v>
      </c>
      <c r="I60" s="254"/>
      <c r="J60" s="240"/>
    </row>
    <row r="61" spans="1:10" ht="14.1" customHeight="1" x14ac:dyDescent="0.25">
      <c r="A61" s="101"/>
      <c r="B61" s="24"/>
      <c r="C61" s="142" t="s">
        <v>48</v>
      </c>
      <c r="D61" s="139">
        <v>3000</v>
      </c>
      <c r="E61" s="139">
        <v>10</v>
      </c>
      <c r="F61" s="139">
        <v>4468</v>
      </c>
      <c r="G61" s="139">
        <f>D61-F61</f>
        <v>-1468</v>
      </c>
      <c r="H61" s="139">
        <v>1683</v>
      </c>
      <c r="I61" s="254"/>
      <c r="J61" s="240"/>
    </row>
    <row r="62" spans="1:10" ht="14.1" customHeight="1" x14ac:dyDescent="0.25">
      <c r="A62" s="101"/>
      <c r="B62" s="24"/>
      <c r="C62" s="77" t="s">
        <v>124</v>
      </c>
      <c r="D62" s="254"/>
      <c r="E62" s="254"/>
      <c r="F62" s="254"/>
      <c r="G62" s="254"/>
      <c r="H62" s="178"/>
      <c r="I62" s="178"/>
      <c r="J62" s="120"/>
    </row>
    <row r="63" spans="1:10" ht="14.1" customHeight="1" x14ac:dyDescent="0.25">
      <c r="A63" s="101"/>
      <c r="B63" s="24"/>
      <c r="C63" s="161"/>
      <c r="D63" s="254"/>
      <c r="E63" s="254"/>
      <c r="F63" s="254"/>
      <c r="G63" s="254"/>
      <c r="H63" s="178"/>
      <c r="I63" s="178"/>
      <c r="J63" s="120"/>
    </row>
    <row r="64" spans="1:10" ht="15" customHeight="1" x14ac:dyDescent="0.25">
      <c r="A64" s="101"/>
      <c r="B64" s="24"/>
      <c r="C64" s="161"/>
      <c r="D64" s="254"/>
      <c r="E64" s="254"/>
      <c r="F64" s="254"/>
      <c r="G64" s="254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4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120</v>
      </c>
      <c r="C68" s="284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6" spans="1:10" ht="15" customHeight="1" x14ac:dyDescent="0.25"/>
    <row r="77" spans="1:10" ht="124.5" customHeight="1" x14ac:dyDescent="0.25"/>
    <row r="78" spans="1:10" ht="17.100000000000001" customHeight="1" x14ac:dyDescent="0.25">
      <c r="B78" s="2"/>
      <c r="C78" s="215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5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5" t="s">
        <v>1</v>
      </c>
      <c r="D81" s="296"/>
      <c r="E81" s="295" t="s">
        <v>2</v>
      </c>
      <c r="F81" s="297"/>
      <c r="G81" s="295" t="s">
        <v>3</v>
      </c>
      <c r="H81" s="296"/>
      <c r="I81" s="178"/>
      <c r="J81" s="240"/>
    </row>
    <row r="82" spans="1:10" ht="15" customHeight="1" x14ac:dyDescent="0.25">
      <c r="B82" s="250"/>
      <c r="C82" s="115" t="s">
        <v>6</v>
      </c>
      <c r="D82" s="117">
        <v>84177</v>
      </c>
      <c r="E82" s="255" t="s">
        <v>4</v>
      </c>
      <c r="F82" s="114">
        <v>32035</v>
      </c>
      <c r="G82" s="191" t="s">
        <v>5</v>
      </c>
      <c r="H82" s="114">
        <v>9408</v>
      </c>
      <c r="I82" s="178"/>
      <c r="J82" s="240"/>
    </row>
    <row r="83" spans="1:10" ht="15" customHeight="1" x14ac:dyDescent="0.25">
      <c r="B83" s="250"/>
      <c r="C83" s="115" t="s">
        <v>9</v>
      </c>
      <c r="D83" s="117">
        <v>75177</v>
      </c>
      <c r="E83" s="244" t="s">
        <v>7</v>
      </c>
      <c r="F83" s="117">
        <v>52267</v>
      </c>
      <c r="G83" s="191" t="s">
        <v>8</v>
      </c>
      <c r="H83" s="117">
        <v>38678</v>
      </c>
      <c r="I83" s="178"/>
      <c r="J83" s="240"/>
    </row>
    <row r="84" spans="1:10" ht="14.1" customHeight="1" x14ac:dyDescent="0.25">
      <c r="B84" s="250"/>
      <c r="C84" s="115" t="s">
        <v>76</v>
      </c>
      <c r="D84" s="117">
        <v>10713</v>
      </c>
      <c r="E84" s="115" t="s">
        <v>10</v>
      </c>
      <c r="F84" s="117">
        <v>2254</v>
      </c>
      <c r="G84" s="191" t="s">
        <v>11</v>
      </c>
      <c r="H84" s="117">
        <v>4181</v>
      </c>
      <c r="I84" s="178"/>
      <c r="J84" s="240"/>
    </row>
    <row r="85" spans="1:10" ht="12" customHeight="1" x14ac:dyDescent="0.25">
      <c r="B85" s="250"/>
      <c r="C85" s="177" t="s">
        <v>50</v>
      </c>
      <c r="D85" s="189">
        <f>SUM(D82:D84)</f>
        <v>170067</v>
      </c>
      <c r="E85" s="177" t="s">
        <v>14</v>
      </c>
      <c r="F85" s="189">
        <f>SUM(F82:F84)</f>
        <v>86556</v>
      </c>
      <c r="G85" s="177" t="s">
        <v>7</v>
      </c>
      <c r="H85" s="189">
        <f>SUM(H82:H84)</f>
        <v>52267</v>
      </c>
      <c r="I85" s="178"/>
      <c r="J85" s="240"/>
    </row>
    <row r="86" spans="1:10" ht="14.25" customHeight="1" x14ac:dyDescent="0.25">
      <c r="A86" s="1"/>
      <c r="B86" s="250"/>
      <c r="C86" s="101" t="s">
        <v>137</v>
      </c>
      <c r="D86" s="216"/>
      <c r="E86" s="216"/>
      <c r="F86" s="216"/>
      <c r="G86" s="216"/>
      <c r="H86" s="216"/>
      <c r="I86" s="232"/>
      <c r="J86" s="120"/>
    </row>
    <row r="87" spans="1:10" ht="6" customHeight="1" x14ac:dyDescent="0.25">
      <c r="A87" s="1"/>
      <c r="B87" s="250"/>
      <c r="C87" s="96"/>
      <c r="D87" s="96"/>
      <c r="E87" s="96"/>
      <c r="F87" s="96"/>
      <c r="G87" s="96"/>
      <c r="H87" s="96"/>
      <c r="I87" s="232"/>
      <c r="J87" s="120"/>
    </row>
    <row r="88" spans="1:10" ht="14.1" customHeight="1" x14ac:dyDescent="0.25">
      <c r="A88" s="1"/>
      <c r="B88" s="135"/>
      <c r="C88" s="268"/>
      <c r="D88" s="109"/>
      <c r="E88" s="268"/>
      <c r="F88" s="268"/>
      <c r="G88" s="268"/>
      <c r="H88" s="268"/>
      <c r="I88" s="257"/>
      <c r="J88" s="184"/>
    </row>
    <row r="89" spans="1:10" ht="20.25" customHeight="1" x14ac:dyDescent="0.25">
      <c r="A89" s="1"/>
      <c r="B89" s="250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0"/>
      <c r="C90" s="286"/>
      <c r="D90" s="286"/>
      <c r="E90" s="286"/>
      <c r="F90" s="286"/>
      <c r="G90" s="286"/>
      <c r="H90" s="286"/>
      <c r="I90" s="286"/>
      <c r="J90" s="19"/>
    </row>
    <row r="91" spans="1:10" ht="54" customHeight="1" x14ac:dyDescent="0.25">
      <c r="A91" s="1"/>
      <c r="B91" s="250"/>
      <c r="C91" s="15" t="s">
        <v>16</v>
      </c>
      <c r="D91" s="113" t="s">
        <v>17</v>
      </c>
      <c r="E91" s="15" t="s">
        <v>51</v>
      </c>
      <c r="F91" s="15" t="s">
        <v>143</v>
      </c>
      <c r="G91" s="15" t="s">
        <v>144</v>
      </c>
      <c r="H91" s="15" t="s">
        <v>145</v>
      </c>
      <c r="I91" s="15" t="s">
        <v>146</v>
      </c>
      <c r="J91" s="120"/>
    </row>
    <row r="92" spans="1:10" ht="14.1" customHeight="1" x14ac:dyDescent="0.25">
      <c r="A92" s="1"/>
      <c r="B92" s="250"/>
      <c r="C92" s="32" t="s">
        <v>19</v>
      </c>
      <c r="D92" s="28">
        <v>32035</v>
      </c>
      <c r="E92" s="28">
        <v>34798</v>
      </c>
      <c r="F92" s="11">
        <f t="shared" ref="F92:I92" si="6">F94+F93</f>
        <v>270.99399</v>
      </c>
      <c r="G92" s="11">
        <f t="shared" si="6"/>
        <v>47694.416020000004</v>
      </c>
      <c r="H92" s="11">
        <f t="shared" si="6"/>
        <v>-12896.416020000002</v>
      </c>
      <c r="I92" s="11">
        <f t="shared" si="6"/>
        <v>38304.081539999999</v>
      </c>
      <c r="J92" s="240"/>
    </row>
    <row r="93" spans="1:10" ht="15" customHeight="1" x14ac:dyDescent="0.25">
      <c r="A93" s="1"/>
      <c r="B93" s="250"/>
      <c r="C93" s="44" t="s">
        <v>20</v>
      </c>
      <c r="D93" s="45">
        <v>31285</v>
      </c>
      <c r="E93" s="45">
        <v>33986</v>
      </c>
      <c r="F93" s="23">
        <f>258.29179</f>
        <v>258.29178999999999</v>
      </c>
      <c r="G93" s="23">
        <f>46980.75783</f>
        <v>46980.757830000002</v>
      </c>
      <c r="H93" s="23">
        <f>E93-G93</f>
        <v>-12994.757830000002</v>
      </c>
      <c r="I93" s="23">
        <f>37553.99913</f>
        <v>37553.999129999997</v>
      </c>
      <c r="J93" s="240"/>
    </row>
    <row r="94" spans="1:10" ht="14.1" customHeight="1" x14ac:dyDescent="0.25">
      <c r="A94" s="1"/>
      <c r="B94" s="250"/>
      <c r="C94" s="64" t="s">
        <v>21</v>
      </c>
      <c r="D94" s="49">
        <v>750</v>
      </c>
      <c r="E94" s="49">
        <v>812</v>
      </c>
      <c r="F94" s="50">
        <f>12.7022</f>
        <v>12.702199999999999</v>
      </c>
      <c r="G94" s="50">
        <f>713.65819</f>
        <v>713.65818999999999</v>
      </c>
      <c r="H94" s="50">
        <f>E94-G94</f>
        <v>98.341810000000009</v>
      </c>
      <c r="I94" s="50">
        <f>750.08241</f>
        <v>750.08240999999998</v>
      </c>
      <c r="J94" s="240"/>
    </row>
    <row r="95" spans="1:10" ht="15.75" customHeight="1" x14ac:dyDescent="0.25">
      <c r="A95" s="1"/>
      <c r="B95" s="52"/>
      <c r="C95" s="16" t="s">
        <v>22</v>
      </c>
      <c r="D95" s="28">
        <f>D96+D101+D102</f>
        <v>53851</v>
      </c>
      <c r="E95" s="28">
        <v>59501</v>
      </c>
      <c r="F95" s="11">
        <f t="shared" ref="F95:I95" si="7">F96+F101+F102</f>
        <v>765.16468999999995</v>
      </c>
      <c r="G95" s="11">
        <f t="shared" si="7"/>
        <v>39543.511149999998</v>
      </c>
      <c r="H95" s="11">
        <f t="shared" si="7"/>
        <v>19957.488850000002</v>
      </c>
      <c r="I95" s="11">
        <f t="shared" si="7"/>
        <v>41257.187839999999</v>
      </c>
      <c r="J95" s="240"/>
    </row>
    <row r="96" spans="1:10" ht="14.1" customHeight="1" x14ac:dyDescent="0.25">
      <c r="A96" s="1"/>
      <c r="B96" s="53"/>
      <c r="C96" s="56" t="s">
        <v>23</v>
      </c>
      <c r="D96" s="58">
        <f>D97+D98+D99+D100</f>
        <v>40262</v>
      </c>
      <c r="E96" s="58">
        <v>44492</v>
      </c>
      <c r="F96" s="132">
        <f t="shared" ref="F96:I96" si="8">F97+F98+F99+F100</f>
        <v>289.96890999999999</v>
      </c>
      <c r="G96" s="132">
        <f t="shared" si="8"/>
        <v>25654.053639999998</v>
      </c>
      <c r="H96" s="132">
        <f t="shared" si="8"/>
        <v>18837.946360000002</v>
      </c>
      <c r="I96" s="132">
        <f t="shared" si="8"/>
        <v>31197.332610000001</v>
      </c>
      <c r="J96" s="240"/>
    </row>
    <row r="97" spans="1:10" ht="14.1" customHeight="1" x14ac:dyDescent="0.25">
      <c r="A97" s="197"/>
      <c r="B97" s="182"/>
      <c r="C97" s="62" t="s">
        <v>24</v>
      </c>
      <c r="D97" s="63">
        <v>10751</v>
      </c>
      <c r="E97" s="63">
        <v>11884</v>
      </c>
      <c r="F97" s="127">
        <f>131.14069</f>
        <v>131.14069000000001</v>
      </c>
      <c r="G97" s="127">
        <f>4831.78647</f>
        <v>4831.78647</v>
      </c>
      <c r="H97" s="127">
        <f t="shared" ref="H97:H104" si="9">E97-G97</f>
        <v>7052.21353</v>
      </c>
      <c r="I97" s="127">
        <f>4200.35306</f>
        <v>4200.3530600000004</v>
      </c>
      <c r="J97" s="240"/>
    </row>
    <row r="98" spans="1:10" ht="14.1" customHeight="1" x14ac:dyDescent="0.25">
      <c r="A98" s="197"/>
      <c r="B98" s="182"/>
      <c r="C98" s="62" t="s">
        <v>52</v>
      </c>
      <c r="D98" s="63">
        <v>11448</v>
      </c>
      <c r="E98" s="63">
        <v>12665</v>
      </c>
      <c r="F98" s="127">
        <f>95.58453</f>
        <v>95.584530000000001</v>
      </c>
      <c r="G98" s="127">
        <f>8046.52769</f>
        <v>8046.5276899999999</v>
      </c>
      <c r="H98" s="127">
        <f t="shared" si="9"/>
        <v>4618.4723100000001</v>
      </c>
      <c r="I98" s="127">
        <f>10495.74769</f>
        <v>10495.74769</v>
      </c>
      <c r="J98" s="240"/>
    </row>
    <row r="99" spans="1:10" ht="14.1" customHeight="1" x14ac:dyDescent="0.25">
      <c r="A99" s="197"/>
      <c r="B99" s="182"/>
      <c r="C99" s="62" t="s">
        <v>53</v>
      </c>
      <c r="D99" s="63">
        <v>10830</v>
      </c>
      <c r="E99" s="63">
        <v>11966</v>
      </c>
      <c r="F99" s="127">
        <f>23.30382</f>
        <v>23.303820000000002</v>
      </c>
      <c r="G99" s="127">
        <f>7284.50661</f>
        <v>7284.5066100000004</v>
      </c>
      <c r="H99" s="127">
        <f t="shared" si="9"/>
        <v>4681.4933899999996</v>
      </c>
      <c r="I99" s="127">
        <f>8742.40539</f>
        <v>8742.4053899999999</v>
      </c>
      <c r="J99" s="240"/>
    </row>
    <row r="100" spans="1:10" ht="14.1" customHeight="1" x14ac:dyDescent="0.25">
      <c r="A100" s="197"/>
      <c r="B100" s="182"/>
      <c r="C100" s="62" t="s">
        <v>27</v>
      </c>
      <c r="D100" s="63">
        <v>7233</v>
      </c>
      <c r="E100" s="63">
        <v>7977</v>
      </c>
      <c r="F100" s="127">
        <f>39.93987</f>
        <v>39.939869999999999</v>
      </c>
      <c r="G100" s="127">
        <f>5491.23287</f>
        <v>5491.2328699999998</v>
      </c>
      <c r="H100" s="127">
        <f t="shared" si="9"/>
        <v>2485.7671300000002</v>
      </c>
      <c r="I100" s="127">
        <f>7758.82647</f>
        <v>7758.82647</v>
      </c>
      <c r="J100" s="240"/>
    </row>
    <row r="101" spans="1:10" ht="14.1" customHeight="1" x14ac:dyDescent="0.25">
      <c r="A101" s="197"/>
      <c r="B101" s="182"/>
      <c r="C101" s="56" t="s">
        <v>54</v>
      </c>
      <c r="D101" s="58">
        <v>9408</v>
      </c>
      <c r="E101" s="58">
        <v>10391</v>
      </c>
      <c r="F101" s="132">
        <f>403.20928</f>
        <v>403.20927999999998</v>
      </c>
      <c r="G101" s="132">
        <f>11477.12988</f>
        <v>11477.12988</v>
      </c>
      <c r="H101" s="132">
        <f t="shared" si="9"/>
        <v>-1086.1298800000004</v>
      </c>
      <c r="I101" s="132">
        <f>7841.40942999999</f>
        <v>7841.4094299999997</v>
      </c>
      <c r="J101" s="240"/>
    </row>
    <row r="102" spans="1:10" ht="15.75" customHeight="1" x14ac:dyDescent="0.25">
      <c r="A102" s="1"/>
      <c r="B102" s="53"/>
      <c r="C102" s="38" t="s">
        <v>11</v>
      </c>
      <c r="D102" s="61">
        <v>4181</v>
      </c>
      <c r="E102" s="61">
        <v>4618</v>
      </c>
      <c r="F102" s="75">
        <f>71.9865</f>
        <v>71.986500000000007</v>
      </c>
      <c r="G102" s="75">
        <f>2412.32763</f>
        <v>2412.3276300000002</v>
      </c>
      <c r="H102" s="75">
        <f t="shared" si="9"/>
        <v>2205.6723699999998</v>
      </c>
      <c r="I102" s="75">
        <f>2218.4458</f>
        <v>2218.4458</v>
      </c>
      <c r="J102" s="240"/>
    </row>
    <row r="103" spans="1:10" ht="15.75" customHeight="1" x14ac:dyDescent="0.25">
      <c r="A103" s="1"/>
      <c r="B103" s="53"/>
      <c r="C103" s="73" t="s">
        <v>34</v>
      </c>
      <c r="D103" s="89">
        <v>320</v>
      </c>
      <c r="E103" s="89">
        <v>320</v>
      </c>
      <c r="F103" s="98">
        <f>0.518</f>
        <v>0.51800000000000002</v>
      </c>
      <c r="G103" s="98">
        <f>12.32375</f>
        <v>12.32375</v>
      </c>
      <c r="H103" s="98">
        <f t="shared" si="9"/>
        <v>307.67624999999998</v>
      </c>
      <c r="I103" s="98">
        <f>22.37971</f>
        <v>22.379709999999999</v>
      </c>
      <c r="J103" s="240"/>
    </row>
    <row r="104" spans="1:10" ht="18" customHeight="1" x14ac:dyDescent="0.25">
      <c r="A104" s="1"/>
      <c r="B104" s="250"/>
      <c r="C104" s="73" t="s">
        <v>55</v>
      </c>
      <c r="D104" s="143">
        <v>300</v>
      </c>
      <c r="E104" s="143">
        <v>300</v>
      </c>
      <c r="F104" s="139">
        <f>0.20634</f>
        <v>0.20634</v>
      </c>
      <c r="G104" s="139">
        <v>300</v>
      </c>
      <c r="H104" s="139">
        <f t="shared" si="9"/>
        <v>0</v>
      </c>
      <c r="I104" s="139">
        <v>300</v>
      </c>
      <c r="J104" s="240"/>
    </row>
    <row r="105" spans="1:10" ht="16.5" customHeight="1" x14ac:dyDescent="0.25">
      <c r="A105" s="1"/>
      <c r="B105" s="250"/>
      <c r="C105" s="93" t="s">
        <v>38</v>
      </c>
      <c r="D105" s="143">
        <v>50</v>
      </c>
      <c r="E105" s="143">
        <v>50</v>
      </c>
      <c r="F105" s="98">
        <f>1.6087</f>
        <v>1.6087</v>
      </c>
      <c r="G105" s="98">
        <f>15.39726</f>
        <v>15.397259999999999</v>
      </c>
      <c r="H105" s="139">
        <f>E105-G105</f>
        <v>34.602739999999997</v>
      </c>
      <c r="I105" s="98">
        <f>6.2823</f>
        <v>6.2823000000000002</v>
      </c>
      <c r="J105" s="240"/>
    </row>
    <row r="106" spans="1:10" ht="18" customHeight="1" x14ac:dyDescent="0.25">
      <c r="A106" s="1"/>
      <c r="B106" s="250"/>
      <c r="C106" s="93" t="s">
        <v>56</v>
      </c>
      <c r="D106" s="143"/>
      <c r="E106" s="139"/>
      <c r="F106" s="139">
        <f>0</f>
        <v>0</v>
      </c>
      <c r="G106" s="139">
        <f>104.38172</f>
        <v>104.38172</v>
      </c>
      <c r="H106" s="139">
        <f t="shared" ref="H106" si="10">E106-G106</f>
        <v>-104.38172</v>
      </c>
      <c r="I106" s="139">
        <f>13.8338</f>
        <v>13.8338</v>
      </c>
      <c r="J106" s="240"/>
    </row>
    <row r="107" spans="1:10" ht="16.5" customHeight="1" x14ac:dyDescent="0.25">
      <c r="A107" s="1"/>
      <c r="B107" s="250"/>
      <c r="C107" s="74" t="s">
        <v>41</v>
      </c>
      <c r="D107" s="76">
        <f>D92+D95+D103+D104+D105+D106</f>
        <v>86556</v>
      </c>
      <c r="E107" s="76">
        <f t="shared" ref="E107:I107" si="11">E92+E95+E103+E104+E105+E106</f>
        <v>94969</v>
      </c>
      <c r="F107" s="76">
        <f t="shared" si="11"/>
        <v>1038.49172</v>
      </c>
      <c r="G107" s="76">
        <f t="shared" si="11"/>
        <v>87670.029900000009</v>
      </c>
      <c r="H107" s="76">
        <f t="shared" si="11"/>
        <v>7298.9700999999995</v>
      </c>
      <c r="I107" s="76">
        <f t="shared" si="11"/>
        <v>79903.765189999991</v>
      </c>
      <c r="J107" s="240"/>
    </row>
    <row r="108" spans="1:10" ht="13.5" customHeight="1" x14ac:dyDescent="0.25">
      <c r="A108" s="1"/>
      <c r="B108" s="250"/>
      <c r="C108" s="77" t="s">
        <v>126</v>
      </c>
      <c r="D108" s="100"/>
      <c r="E108" s="100"/>
      <c r="F108" s="102"/>
      <c r="G108" s="102"/>
      <c r="H108" s="104"/>
      <c r="I108" s="224"/>
      <c r="J108" s="240"/>
    </row>
    <row r="109" spans="1:10" ht="13.5" customHeight="1" x14ac:dyDescent="0.25">
      <c r="A109" s="1"/>
      <c r="B109" s="24"/>
      <c r="C109" s="161" t="s">
        <v>148</v>
      </c>
      <c r="D109" s="254"/>
      <c r="E109" s="254"/>
      <c r="F109" s="80"/>
      <c r="G109" s="80"/>
      <c r="H109" s="224"/>
      <c r="I109" s="224"/>
      <c r="J109" s="105"/>
    </row>
    <row r="110" spans="1:10" ht="15" customHeight="1" x14ac:dyDescent="0.25">
      <c r="A110" s="1"/>
      <c r="B110" s="24"/>
      <c r="C110" s="161" t="s">
        <v>125</v>
      </c>
      <c r="D110" s="254"/>
      <c r="E110" s="254"/>
      <c r="F110" s="80"/>
      <c r="G110" s="80"/>
      <c r="H110" s="224"/>
      <c r="I110" s="224"/>
      <c r="J110" s="105"/>
    </row>
    <row r="111" spans="1:10" ht="15" customHeight="1" x14ac:dyDescent="0.25">
      <c r="A111" s="1"/>
      <c r="B111" s="24"/>
      <c r="C111" s="224" t="s">
        <v>57</v>
      </c>
      <c r="D111" s="254"/>
      <c r="E111" s="254"/>
      <c r="F111" s="80"/>
      <c r="G111" s="80"/>
      <c r="H111" s="224"/>
      <c r="I111" s="224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120</v>
      </c>
      <c r="D113" s="224"/>
      <c r="E113" s="224"/>
      <c r="F113" s="224"/>
      <c r="G113" s="224"/>
      <c r="H113" s="224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4"/>
      <c r="B115" s="214"/>
      <c r="C115" s="215" t="s">
        <v>58</v>
      </c>
      <c r="D115" s="214"/>
      <c r="E115" s="214"/>
      <c r="F115" s="214"/>
      <c r="G115" s="214"/>
      <c r="H115" s="214"/>
      <c r="I115" s="214"/>
      <c r="J115" s="214"/>
    </row>
    <row r="116" spans="1:10" ht="3" customHeight="1" x14ac:dyDescent="0.25">
      <c r="A116" s="214"/>
      <c r="B116" s="214"/>
      <c r="C116" s="215"/>
      <c r="D116" s="214"/>
      <c r="E116" s="214"/>
      <c r="F116" s="214"/>
      <c r="G116" s="214"/>
      <c r="H116" s="214"/>
      <c r="I116" s="214"/>
      <c r="J116" s="214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0"/>
    </row>
    <row r="119" spans="1:10" ht="14.1" customHeight="1" x14ac:dyDescent="0.25">
      <c r="A119" s="1"/>
      <c r="B119" s="250"/>
      <c r="C119" s="115" t="s">
        <v>6</v>
      </c>
      <c r="D119" s="117">
        <v>212994</v>
      </c>
      <c r="E119" s="99" t="s">
        <v>4</v>
      </c>
      <c r="F119" s="114">
        <v>77294</v>
      </c>
      <c r="G119" s="115" t="s">
        <v>5</v>
      </c>
      <c r="H119" s="114">
        <v>8732</v>
      </c>
      <c r="I119" s="178"/>
      <c r="J119" s="240"/>
    </row>
    <row r="120" spans="1:10" ht="14.1" customHeight="1" x14ac:dyDescent="0.25">
      <c r="A120" s="1"/>
      <c r="B120" s="250"/>
      <c r="C120" s="115" t="s">
        <v>9</v>
      </c>
      <c r="D120" s="117">
        <v>12100</v>
      </c>
      <c r="E120" s="115" t="s">
        <v>7</v>
      </c>
      <c r="F120" s="117">
        <v>79383</v>
      </c>
      <c r="G120" s="115" t="s">
        <v>8</v>
      </c>
      <c r="H120" s="117">
        <v>59537</v>
      </c>
      <c r="I120" s="178"/>
      <c r="J120" s="240"/>
    </row>
    <row r="121" spans="1:10" ht="14.1" customHeight="1" x14ac:dyDescent="0.25">
      <c r="A121" s="1"/>
      <c r="B121" s="250"/>
      <c r="C121" s="244" t="s">
        <v>59</v>
      </c>
      <c r="D121" s="117">
        <v>1700</v>
      </c>
      <c r="E121" s="115" t="s">
        <v>60</v>
      </c>
      <c r="F121" s="117">
        <v>52226</v>
      </c>
      <c r="G121" s="115" t="s">
        <v>11</v>
      </c>
      <c r="H121" s="117">
        <v>11114</v>
      </c>
      <c r="I121" s="178"/>
      <c r="J121" s="240"/>
    </row>
    <row r="122" spans="1:10" ht="14.1" customHeight="1" x14ac:dyDescent="0.25">
      <c r="A122" s="1"/>
      <c r="B122" s="153"/>
      <c r="C122" s="165"/>
      <c r="D122" s="191"/>
      <c r="E122" s="191" t="s">
        <v>61</v>
      </c>
      <c r="F122" s="117">
        <v>4091</v>
      </c>
      <c r="G122" s="115"/>
      <c r="H122" s="165"/>
      <c r="I122" s="178"/>
      <c r="J122" s="240"/>
    </row>
    <row r="123" spans="1:10" ht="12" customHeight="1" x14ac:dyDescent="0.25">
      <c r="A123" s="1"/>
      <c r="B123" s="250"/>
      <c r="C123" s="177" t="s">
        <v>50</v>
      </c>
      <c r="D123" s="189">
        <v>226794</v>
      </c>
      <c r="E123" s="112" t="s">
        <v>14</v>
      </c>
      <c r="F123" s="189">
        <v>212994</v>
      </c>
      <c r="G123" s="177" t="s">
        <v>7</v>
      </c>
      <c r="H123" s="35">
        <v>79383</v>
      </c>
      <c r="I123" s="178"/>
      <c r="J123" s="240"/>
    </row>
    <row r="124" spans="1:10" ht="12" customHeight="1" x14ac:dyDescent="0.25">
      <c r="A124" s="101"/>
      <c r="B124" s="24"/>
      <c r="C124" s="101" t="s">
        <v>129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7"/>
      <c r="C125" s="268"/>
      <c r="D125" s="268"/>
      <c r="E125" s="229"/>
      <c r="F125" s="229"/>
      <c r="G125" s="229"/>
      <c r="H125" s="229"/>
      <c r="I125" s="229"/>
      <c r="J125" s="241"/>
    </row>
    <row r="126" spans="1:10" ht="25.5" customHeight="1" x14ac:dyDescent="0.25">
      <c r="A126" s="1"/>
      <c r="B126" s="250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0" t="s">
        <v>16</v>
      </c>
      <c r="D127" s="15" t="s">
        <v>17</v>
      </c>
      <c r="E127" s="15" t="s">
        <v>62</v>
      </c>
      <c r="F127" s="15" t="s">
        <v>143</v>
      </c>
      <c r="G127" s="15" t="s">
        <v>144</v>
      </c>
      <c r="H127" s="15" t="s">
        <v>145</v>
      </c>
      <c r="I127" s="15" t="s">
        <v>146</v>
      </c>
      <c r="J127" s="276"/>
    </row>
    <row r="128" spans="1:10" ht="14.1" customHeight="1" x14ac:dyDescent="0.25">
      <c r="A128" s="1"/>
      <c r="B128" s="250"/>
      <c r="C128" s="16" t="s">
        <v>63</v>
      </c>
      <c r="D128" s="28">
        <v>77294</v>
      </c>
      <c r="E128" s="28">
        <v>71094</v>
      </c>
      <c r="F128" s="11">
        <f t="shared" ref="F128:I128" si="12">F129+F130+F131</f>
        <v>1784.3729200000002</v>
      </c>
      <c r="G128" s="11">
        <f t="shared" si="12"/>
        <v>73150.421979999999</v>
      </c>
      <c r="H128" s="11">
        <f t="shared" si="12"/>
        <v>-2056.4219800000005</v>
      </c>
      <c r="I128" s="11">
        <f t="shared" si="12"/>
        <v>61785.088219999998</v>
      </c>
      <c r="J128" s="240"/>
    </row>
    <row r="129" spans="1:10" ht="14.1" customHeight="1" x14ac:dyDescent="0.25">
      <c r="A129" s="1"/>
      <c r="B129" s="250"/>
      <c r="C129" s="44" t="s">
        <v>20</v>
      </c>
      <c r="D129" s="45">
        <v>61835</v>
      </c>
      <c r="E129" s="45">
        <v>56661</v>
      </c>
      <c r="F129" s="23">
        <f>512.35432</f>
        <v>512.35432000000003</v>
      </c>
      <c r="G129" s="23">
        <f>63106.02388</f>
        <v>63106.023880000001</v>
      </c>
      <c r="H129" s="23">
        <f>E129-G129</f>
        <v>-6445.0238800000006</v>
      </c>
      <c r="I129" s="23">
        <f>52001.07371</f>
        <v>52001.073709999997</v>
      </c>
      <c r="J129" s="240"/>
    </row>
    <row r="130" spans="1:10" ht="15" customHeight="1" x14ac:dyDescent="0.25">
      <c r="A130" s="1"/>
      <c r="B130" s="250"/>
      <c r="C130" s="44" t="s">
        <v>21</v>
      </c>
      <c r="D130" s="45">
        <v>14959</v>
      </c>
      <c r="E130" s="45">
        <v>13933</v>
      </c>
      <c r="F130" s="23">
        <f>1272.0186</f>
        <v>1272.0186000000001</v>
      </c>
      <c r="G130" s="23">
        <f>9889.11205</f>
        <v>9889.1120499999997</v>
      </c>
      <c r="H130" s="23">
        <f>E130-G130</f>
        <v>4043.8879500000003</v>
      </c>
      <c r="I130" s="23">
        <f>9515.86651</f>
        <v>9515.8665099999998</v>
      </c>
      <c r="J130" s="240"/>
    </row>
    <row r="131" spans="1:10" ht="13.5" customHeight="1" x14ac:dyDescent="0.25">
      <c r="A131" s="1"/>
      <c r="B131" s="250"/>
      <c r="C131" s="48" t="s">
        <v>64</v>
      </c>
      <c r="D131" s="33">
        <v>500</v>
      </c>
      <c r="E131" s="33">
        <v>500</v>
      </c>
      <c r="F131" s="23">
        <f>0</f>
        <v>0</v>
      </c>
      <c r="G131" s="23">
        <f>155.28605</f>
        <v>155.28604999999999</v>
      </c>
      <c r="H131" s="55">
        <f>E131-G131</f>
        <v>344.71395000000001</v>
      </c>
      <c r="I131" s="23">
        <f>268.148</f>
        <v>268.14800000000002</v>
      </c>
      <c r="J131" s="240"/>
    </row>
    <row r="132" spans="1:10" ht="14.25" customHeight="1" x14ac:dyDescent="0.25">
      <c r="A132" s="67"/>
      <c r="B132" s="78"/>
      <c r="C132" s="88" t="s">
        <v>65</v>
      </c>
      <c r="D132" s="91">
        <v>52226</v>
      </c>
      <c r="E132" s="91">
        <v>49440</v>
      </c>
      <c r="F132" s="95">
        <f>16.066</f>
        <v>16.065999999999999</v>
      </c>
      <c r="G132" s="95">
        <f>38938.73918+8376.59705</f>
        <v>47315.336230000001</v>
      </c>
      <c r="H132" s="95">
        <f>E132-G132</f>
        <v>2124.6637699999992</v>
      </c>
      <c r="I132" s="95">
        <f>40909.86548</f>
        <v>40909.86548</v>
      </c>
      <c r="J132" s="116"/>
    </row>
    <row r="133" spans="1:10" ht="15.75" customHeight="1" x14ac:dyDescent="0.25">
      <c r="A133" s="1"/>
      <c r="B133" s="250"/>
      <c r="C133" s="142" t="s">
        <v>22</v>
      </c>
      <c r="D133" s="143">
        <v>80892</v>
      </c>
      <c r="E133" s="143">
        <v>80421</v>
      </c>
      <c r="F133" s="94">
        <f>F134+F139+F142</f>
        <v>2339.9492700000001</v>
      </c>
      <c r="G133" s="94">
        <f t="shared" ref="G133" si="13">G134+G139+G142</f>
        <v>70691.687770000004</v>
      </c>
      <c r="H133" s="94">
        <f>H134+H139+H142</f>
        <v>9729.3122300000032</v>
      </c>
      <c r="I133" s="94">
        <f>I134+I139+I142</f>
        <v>74363.284870000003</v>
      </c>
      <c r="J133" s="120"/>
    </row>
    <row r="134" spans="1:10" ht="14.1" customHeight="1" x14ac:dyDescent="0.25">
      <c r="A134" s="1"/>
      <c r="B134" s="52"/>
      <c r="C134" s="121" t="s">
        <v>66</v>
      </c>
      <c r="D134" s="122">
        <v>61046</v>
      </c>
      <c r="E134" s="122">
        <v>59080</v>
      </c>
      <c r="F134" s="125">
        <f>F135+F136+F137+F138</f>
        <v>2133.3987900000002</v>
      </c>
      <c r="G134" s="125">
        <f>G135+G136+G138+G137</f>
        <v>54423.440950000004</v>
      </c>
      <c r="H134" s="125">
        <f>H135+H136+H137+H138</f>
        <v>4656.5590500000017</v>
      </c>
      <c r="I134" s="125">
        <f>I135+I136+I137+I138</f>
        <v>58867.858980000005</v>
      </c>
      <c r="J134" s="276"/>
    </row>
    <row r="135" spans="1:10" ht="14.1" customHeight="1" x14ac:dyDescent="0.25">
      <c r="A135" s="197"/>
      <c r="B135" s="126"/>
      <c r="C135" s="62" t="s">
        <v>24</v>
      </c>
      <c r="D135" s="63">
        <v>16203</v>
      </c>
      <c r="E135" s="63">
        <v>17601</v>
      </c>
      <c r="F135" s="127">
        <f>380.18021</f>
        <v>380.18020999999999</v>
      </c>
      <c r="G135" s="127">
        <v>11193.14228</v>
      </c>
      <c r="H135" s="127">
        <f>E135-G135</f>
        <v>6407.85772</v>
      </c>
      <c r="I135" s="127">
        <f>10536.69023</f>
        <v>10536.69023</v>
      </c>
      <c r="J135" s="128"/>
    </row>
    <row r="136" spans="1:10" ht="14.1" customHeight="1" x14ac:dyDescent="0.25">
      <c r="A136" s="197"/>
      <c r="B136" s="182"/>
      <c r="C136" s="62" t="s">
        <v>52</v>
      </c>
      <c r="D136" s="63">
        <v>16593</v>
      </c>
      <c r="E136" s="63">
        <v>15181</v>
      </c>
      <c r="F136" s="127">
        <f>649.75306</f>
        <v>649.75306</v>
      </c>
      <c r="G136" s="127">
        <v>16697.936389999999</v>
      </c>
      <c r="H136" s="127">
        <f>E136-G136</f>
        <v>-1516.9363899999989</v>
      </c>
      <c r="I136" s="127">
        <f>13745.70763</f>
        <v>13745.707630000001</v>
      </c>
      <c r="J136" s="129"/>
    </row>
    <row r="137" spans="1:10" ht="14.1" customHeight="1" x14ac:dyDescent="0.25">
      <c r="A137" s="197"/>
      <c r="B137" s="182"/>
      <c r="C137" s="62" t="s">
        <v>53</v>
      </c>
      <c r="D137" s="63">
        <v>15164</v>
      </c>
      <c r="E137" s="63">
        <v>14325</v>
      </c>
      <c r="F137" s="127">
        <f>690.3613</f>
        <v>690.36130000000003</v>
      </c>
      <c r="G137" s="127">
        <v>14833.28399</v>
      </c>
      <c r="H137" s="127">
        <f>E137-G137</f>
        <v>-508.2839899999999</v>
      </c>
      <c r="I137" s="127">
        <f>18396.84258</f>
        <v>18396.84258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13085</v>
      </c>
      <c r="E138" s="63">
        <v>11973</v>
      </c>
      <c r="F138" s="127">
        <f>413.10422</f>
        <v>413.10422</v>
      </c>
      <c r="G138" s="127">
        <v>11699.078289999999</v>
      </c>
      <c r="H138" s="127">
        <f>E138-G138</f>
        <v>273.92171000000053</v>
      </c>
      <c r="I138" s="127">
        <f>16188.61854</f>
        <v>16188.618539999999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v>8732</v>
      </c>
      <c r="E139" s="58">
        <v>9267</v>
      </c>
      <c r="F139" s="132">
        <f>SUM(F140:F141)</f>
        <v>44.011200000000002</v>
      </c>
      <c r="G139" s="132">
        <f>SUM(G140:G141)</f>
        <v>7911.0190499999999</v>
      </c>
      <c r="H139" s="132">
        <f>H140+H141</f>
        <v>1355.9809499999999</v>
      </c>
      <c r="I139" s="132">
        <f>SUM(I140:I141)</f>
        <v>6913.2894100000003</v>
      </c>
      <c r="J139" s="133"/>
    </row>
    <row r="140" spans="1:10" ht="14.1" customHeight="1" x14ac:dyDescent="0.25">
      <c r="A140" s="1"/>
      <c r="B140" s="250"/>
      <c r="C140" s="62" t="s">
        <v>67</v>
      </c>
      <c r="D140" s="63">
        <v>8232</v>
      </c>
      <c r="E140" s="63">
        <v>8767</v>
      </c>
      <c r="F140" s="127">
        <f>39.3756</f>
        <v>39.375599999999999</v>
      </c>
      <c r="G140" s="127">
        <f>7631.30479</f>
        <v>7631.3047900000001</v>
      </c>
      <c r="H140" s="127">
        <f t="shared" ref="H140:H148" si="14">E140-G140</f>
        <v>1135.6952099999999</v>
      </c>
      <c r="I140" s="127">
        <f>6604.37931</f>
        <v>6604.3793100000003</v>
      </c>
      <c r="J140" s="120"/>
    </row>
    <row r="141" spans="1:10" ht="15" customHeight="1" x14ac:dyDescent="0.25">
      <c r="A141" s="1"/>
      <c r="B141" s="53"/>
      <c r="C141" s="62" t="s">
        <v>68</v>
      </c>
      <c r="D141" s="63">
        <v>500</v>
      </c>
      <c r="E141" s="63">
        <v>500</v>
      </c>
      <c r="F141" s="127">
        <f>4.6356</f>
        <v>4.6356000000000002</v>
      </c>
      <c r="G141" s="127">
        <f>279.71426</f>
        <v>279.71426000000002</v>
      </c>
      <c r="H141" s="127">
        <f t="shared" si="14"/>
        <v>220.28573999999998</v>
      </c>
      <c r="I141" s="127">
        <f>308.9101</f>
        <v>308.9101</v>
      </c>
      <c r="J141" s="134"/>
    </row>
    <row r="142" spans="1:10" ht="15.75" customHeight="1" x14ac:dyDescent="0.25">
      <c r="A142" s="1"/>
      <c r="B142" s="250"/>
      <c r="C142" s="38" t="s">
        <v>11</v>
      </c>
      <c r="D142" s="61">
        <v>11114</v>
      </c>
      <c r="E142" s="61">
        <v>12074</v>
      </c>
      <c r="F142" s="75">
        <f>162.53928</f>
        <v>162.53927999999999</v>
      </c>
      <c r="G142" s="75">
        <f>8357.22777</f>
        <v>8357.2277699999995</v>
      </c>
      <c r="H142" s="75">
        <f t="shared" si="14"/>
        <v>3716.7722300000005</v>
      </c>
      <c r="I142" s="75">
        <f>8582.13648</f>
        <v>8582.1364799999992</v>
      </c>
      <c r="J142" s="120"/>
    </row>
    <row r="143" spans="1:10" ht="15.75" customHeight="1" x14ac:dyDescent="0.25">
      <c r="A143" s="1"/>
      <c r="B143" s="250"/>
      <c r="C143" s="142" t="s">
        <v>34</v>
      </c>
      <c r="D143" s="143">
        <v>137</v>
      </c>
      <c r="E143" s="143">
        <v>137</v>
      </c>
      <c r="F143" s="139">
        <f>0</f>
        <v>0</v>
      </c>
      <c r="G143" s="139">
        <f>34.80673</f>
        <v>34.806730000000002</v>
      </c>
      <c r="H143" s="139">
        <f t="shared" si="14"/>
        <v>102.19327</v>
      </c>
      <c r="I143" s="139">
        <f>28.50315</f>
        <v>28.503150000000002</v>
      </c>
      <c r="J143" s="120"/>
    </row>
    <row r="144" spans="1:10" ht="15.75" customHeight="1" x14ac:dyDescent="0.25">
      <c r="A144" s="1"/>
      <c r="B144" s="250"/>
      <c r="C144" s="140" t="s">
        <v>69</v>
      </c>
      <c r="D144" s="89">
        <v>250</v>
      </c>
      <c r="E144" s="89">
        <v>250</v>
      </c>
      <c r="F144" s="98">
        <f>0</f>
        <v>0</v>
      </c>
      <c r="G144" s="98">
        <f>262.581</f>
        <v>262.58100000000002</v>
      </c>
      <c r="H144" s="98">
        <f t="shared" si="14"/>
        <v>-12.581000000000017</v>
      </c>
      <c r="I144" s="98">
        <f>307.078</f>
        <v>307.07799999999997</v>
      </c>
      <c r="J144" s="120"/>
    </row>
    <row r="145" spans="1:10" ht="18" customHeight="1" x14ac:dyDescent="0.25">
      <c r="A145" s="1"/>
      <c r="B145" s="250"/>
      <c r="C145" s="140" t="s">
        <v>70</v>
      </c>
      <c r="D145" s="143">
        <v>2000</v>
      </c>
      <c r="E145" s="143">
        <v>2000</v>
      </c>
      <c r="F145" s="139">
        <f>3.35624</f>
        <v>3.3562400000000001</v>
      </c>
      <c r="G145" s="139">
        <v>2000</v>
      </c>
      <c r="H145" s="139">
        <f t="shared" si="14"/>
        <v>0</v>
      </c>
      <c r="I145" s="139">
        <v>2000</v>
      </c>
      <c r="J145" s="240"/>
    </row>
    <row r="146" spans="1:10" ht="15.75" customHeight="1" x14ac:dyDescent="0.25">
      <c r="A146" s="1"/>
      <c r="B146" s="250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4"/>
        <v>0</v>
      </c>
      <c r="I146" s="139"/>
      <c r="J146" s="120"/>
    </row>
    <row r="147" spans="1:10" ht="15.75" customHeight="1" x14ac:dyDescent="0.25">
      <c r="A147" s="1"/>
      <c r="B147" s="250"/>
      <c r="C147" s="142" t="s">
        <v>71</v>
      </c>
      <c r="D147" s="143">
        <v>195</v>
      </c>
      <c r="E147" s="143">
        <v>195</v>
      </c>
      <c r="F147" s="98">
        <f>2.683</f>
        <v>2.6829999999999998</v>
      </c>
      <c r="G147" s="98">
        <f>31.35201</f>
        <v>31.35201</v>
      </c>
      <c r="H147" s="139">
        <f t="shared" si="14"/>
        <v>163.64798999999999</v>
      </c>
      <c r="I147" s="98">
        <f>7.08305</f>
        <v>7.0830500000000001</v>
      </c>
      <c r="J147" s="120"/>
    </row>
    <row r="148" spans="1:10" ht="15" customHeight="1" x14ac:dyDescent="0.25">
      <c r="A148" s="1"/>
      <c r="B148" s="250"/>
      <c r="C148" s="142" t="s">
        <v>40</v>
      </c>
      <c r="D148" s="145"/>
      <c r="E148" s="143"/>
      <c r="F148" s="139">
        <f>24.933</f>
        <v>24.933</v>
      </c>
      <c r="G148" s="139">
        <f>584.61988</f>
        <v>584.61987999999997</v>
      </c>
      <c r="H148" s="139">
        <f t="shared" si="14"/>
        <v>-584.61987999999997</v>
      </c>
      <c r="I148" s="139">
        <f>509.5448</f>
        <v>509.54480000000001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41</v>
      </c>
      <c r="D150" s="76">
        <f t="shared" ref="D150:E150" si="15">D128+D132+D133+D143+D144+D145+D146+D147+D148</f>
        <v>212994</v>
      </c>
      <c r="E150" s="76">
        <f t="shared" si="15"/>
        <v>203537</v>
      </c>
      <c r="F150" s="76">
        <f>F128+F132+F133+F143+F144+F145+F146+F147+F148</f>
        <v>4171.3604300000006</v>
      </c>
      <c r="G150" s="76">
        <f>G128+G132+G133+G143+G144+G145+G146+G147+G148</f>
        <v>194070.80560000005</v>
      </c>
      <c r="H150" s="76">
        <f>H128+H132+H133+H143+H144+H145+H146+H147+H148</f>
        <v>9466.1944000000003</v>
      </c>
      <c r="I150" s="76">
        <f>I128+I132+I133+I143+I144+I145+I146+I147+I148</f>
        <v>179910.44756999999</v>
      </c>
      <c r="J150" s="160"/>
    </row>
    <row r="151" spans="1:10" ht="14.25" customHeight="1" x14ac:dyDescent="0.25">
      <c r="A151" s="156"/>
      <c r="B151" s="52"/>
      <c r="C151" s="161" t="s">
        <v>72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130</v>
      </c>
      <c r="D152" s="119"/>
      <c r="E152" s="119"/>
      <c r="F152" s="119"/>
      <c r="G152" s="119"/>
      <c r="H152" s="163"/>
      <c r="I152" s="156"/>
      <c r="J152" s="276"/>
    </row>
    <row r="153" spans="1:10" ht="14.25" customHeight="1" x14ac:dyDescent="0.25">
      <c r="A153" s="156"/>
      <c r="B153" s="52"/>
      <c r="C153" s="161" t="s">
        <v>73</v>
      </c>
      <c r="D153" s="119"/>
      <c r="E153" s="119"/>
      <c r="F153" s="119"/>
      <c r="G153" s="119"/>
      <c r="H153" s="163"/>
      <c r="I153" s="156"/>
      <c r="J153" s="276"/>
    </row>
    <row r="154" spans="1:10" ht="14.25" customHeight="1" x14ac:dyDescent="0.25">
      <c r="A154" s="156"/>
      <c r="B154" s="52"/>
      <c r="C154" s="77" t="s">
        <v>149</v>
      </c>
      <c r="D154" s="119"/>
      <c r="E154" s="119"/>
      <c r="F154" s="119"/>
      <c r="G154" s="119"/>
      <c r="H154" s="163"/>
      <c r="I154" s="163"/>
      <c r="J154" s="276"/>
    </row>
    <row r="155" spans="1:10" ht="15.75" customHeight="1" x14ac:dyDescent="0.25">
      <c r="A155" s="156"/>
      <c r="B155" s="52"/>
      <c r="C155" s="161" t="s">
        <v>74</v>
      </c>
      <c r="D155" s="119"/>
      <c r="E155" s="119"/>
      <c r="F155" s="119"/>
      <c r="G155" s="119"/>
      <c r="H155" s="163"/>
      <c r="I155" s="163"/>
      <c r="J155" s="276"/>
    </row>
    <row r="156" spans="1:10" ht="15.75" customHeight="1" x14ac:dyDescent="0.25">
      <c r="A156" s="156"/>
      <c r="B156" s="52"/>
      <c r="C156" s="77" t="s">
        <v>131</v>
      </c>
      <c r="D156" s="119"/>
      <c r="E156" s="119"/>
      <c r="F156" s="119"/>
      <c r="G156" s="119"/>
      <c r="H156" s="163"/>
      <c r="I156" s="163"/>
      <c r="J156" s="276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5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5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120</v>
      </c>
      <c r="B165" s="250"/>
      <c r="C165" s="149" t="s">
        <v>1</v>
      </c>
      <c r="D165" s="185"/>
      <c r="E165" s="277"/>
      <c r="F165" s="277"/>
      <c r="G165" s="277"/>
      <c r="H165" s="1"/>
      <c r="I165" s="1"/>
      <c r="J165" s="120"/>
    </row>
    <row r="166" spans="1:10" ht="14.1" customHeight="1" x14ac:dyDescent="0.25">
      <c r="A166" s="1"/>
      <c r="B166" s="250"/>
      <c r="C166" s="177" t="s">
        <v>6</v>
      </c>
      <c r="D166" s="189">
        <v>12735</v>
      </c>
      <c r="E166" s="277"/>
      <c r="F166" s="277"/>
      <c r="G166" s="277"/>
      <c r="H166" s="1"/>
      <c r="I166" s="1"/>
      <c r="J166" s="120"/>
    </row>
    <row r="167" spans="1:10" ht="14.1" customHeight="1" x14ac:dyDescent="0.25">
      <c r="A167" s="1"/>
      <c r="B167" s="250"/>
      <c r="C167" s="177" t="s">
        <v>9</v>
      </c>
      <c r="D167" s="189">
        <v>11325</v>
      </c>
      <c r="E167" s="277"/>
      <c r="F167" s="277"/>
      <c r="G167" s="231"/>
      <c r="H167" s="1"/>
      <c r="I167" s="1"/>
      <c r="J167" s="120"/>
    </row>
    <row r="168" spans="1:10" ht="14.1" customHeight="1" x14ac:dyDescent="0.25">
      <c r="A168" s="1"/>
      <c r="B168" s="250"/>
      <c r="C168" s="177" t="s">
        <v>76</v>
      </c>
      <c r="D168" s="189">
        <v>940</v>
      </c>
      <c r="E168" s="277"/>
      <c r="F168" s="277"/>
      <c r="G168" s="277"/>
      <c r="H168" s="1"/>
      <c r="I168" s="1"/>
      <c r="J168" s="120"/>
    </row>
    <row r="169" spans="1:10" ht="14.1" customHeight="1" x14ac:dyDescent="0.25">
      <c r="A169" s="1"/>
      <c r="B169" s="250"/>
      <c r="C169" s="177" t="s">
        <v>50</v>
      </c>
      <c r="D169" s="189">
        <v>25000</v>
      </c>
      <c r="E169" s="277"/>
      <c r="F169" s="277"/>
      <c r="G169" s="277"/>
      <c r="H169" s="1"/>
      <c r="I169" s="1"/>
      <c r="J169" s="120"/>
    </row>
    <row r="170" spans="1:10" ht="14.1" customHeight="1" x14ac:dyDescent="0.25">
      <c r="A170" s="1"/>
      <c r="B170" s="250"/>
      <c r="C170" s="1"/>
      <c r="D170" s="47"/>
      <c r="E170" s="277"/>
      <c r="F170" s="277"/>
      <c r="G170" s="277"/>
      <c r="H170" s="1"/>
      <c r="I170" s="1"/>
      <c r="J170" s="120"/>
    </row>
    <row r="171" spans="1:10" ht="3.75" customHeight="1" x14ac:dyDescent="0.25">
      <c r="A171" s="1"/>
      <c r="B171" s="237"/>
      <c r="C171" s="159"/>
      <c r="D171" s="159"/>
      <c r="E171" s="263"/>
      <c r="F171" s="263"/>
      <c r="G171" s="263"/>
      <c r="H171" s="229"/>
      <c r="I171" s="229"/>
      <c r="J171" s="241"/>
    </row>
    <row r="172" spans="1:10" ht="24.75" customHeight="1" x14ac:dyDescent="0.25">
      <c r="A172" s="1"/>
      <c r="B172" s="250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0"/>
      <c r="D173" s="220"/>
      <c r="E173" s="220"/>
      <c r="F173" s="220"/>
      <c r="G173" s="220"/>
      <c r="H173" s="220"/>
      <c r="I173" s="220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143</v>
      </c>
      <c r="F174" s="15" t="s">
        <v>144</v>
      </c>
      <c r="G174" s="54" t="s">
        <v>145</v>
      </c>
      <c r="H174" s="15" t="s">
        <v>146</v>
      </c>
      <c r="I174" s="156"/>
      <c r="J174" s="276"/>
    </row>
    <row r="175" spans="1:10" ht="14.1" customHeight="1" x14ac:dyDescent="0.25">
      <c r="A175" s="1"/>
      <c r="B175" s="250"/>
      <c r="C175" s="141" t="s">
        <v>77</v>
      </c>
      <c r="D175" s="94">
        <v>4988</v>
      </c>
      <c r="E175" s="272">
        <f>37.55751</f>
        <v>37.557510000000001</v>
      </c>
      <c r="F175" s="272">
        <f>2278.55112</f>
        <v>2278.5511200000001</v>
      </c>
      <c r="G175" s="43">
        <f>D175-F175-F176</f>
        <v>523.36085000000003</v>
      </c>
      <c r="H175" s="272">
        <f>1827.10769</f>
        <v>1827.10769</v>
      </c>
      <c r="I175" s="1"/>
      <c r="J175" s="120"/>
    </row>
    <row r="176" spans="1:10" ht="14.1" customHeight="1" x14ac:dyDescent="0.25">
      <c r="A176" s="1"/>
      <c r="B176" s="250"/>
      <c r="C176" s="137" t="s">
        <v>54</v>
      </c>
      <c r="D176" s="181"/>
      <c r="E176" s="152">
        <f>0</f>
        <v>0</v>
      </c>
      <c r="F176" s="152">
        <f>2186.08803</f>
        <v>2186.0880299999999</v>
      </c>
      <c r="G176" s="213"/>
      <c r="H176" s="152">
        <f>1755.03145</f>
        <v>1755.0314499999999</v>
      </c>
      <c r="I176" s="1"/>
      <c r="J176" s="120"/>
    </row>
    <row r="177" spans="1:10" ht="15.6" customHeight="1" x14ac:dyDescent="0.25">
      <c r="A177" s="1"/>
      <c r="B177" s="250"/>
      <c r="C177" s="169" t="s">
        <v>78</v>
      </c>
      <c r="D177" s="98">
        <v>200</v>
      </c>
      <c r="E177" s="172">
        <f>3.78216</f>
        <v>3.7821600000000002</v>
      </c>
      <c r="F177" s="172">
        <f>78.56962</f>
        <v>78.56962</v>
      </c>
      <c r="G177" s="172">
        <f>D177-F177</f>
        <v>121.43038</v>
      </c>
      <c r="H177" s="172">
        <f>55.96662</f>
        <v>55.966619999999999</v>
      </c>
      <c r="I177" s="1"/>
      <c r="J177" s="120"/>
    </row>
    <row r="178" spans="1:10" ht="14.1" customHeight="1" x14ac:dyDescent="0.25">
      <c r="A178" s="67"/>
      <c r="B178" s="78"/>
      <c r="C178" s="180" t="s">
        <v>79</v>
      </c>
      <c r="D178" s="181">
        <v>7481</v>
      </c>
      <c r="E178" s="181">
        <f>E179+E180+E181</f>
        <v>4.8092100000000002</v>
      </c>
      <c r="F178" s="181">
        <f>F179+F180+F181</f>
        <v>8180.1001500000002</v>
      </c>
      <c r="G178" s="181">
        <f>D178-F178</f>
        <v>-699.10015000000021</v>
      </c>
      <c r="H178" s="181">
        <f>H179+H180+H181</f>
        <v>7892.0866099999994</v>
      </c>
      <c r="I178" s="67"/>
      <c r="J178" s="116"/>
    </row>
    <row r="179" spans="1:10" ht="14.1" customHeight="1" x14ac:dyDescent="0.25">
      <c r="A179" s="197"/>
      <c r="B179" s="182"/>
      <c r="C179" s="183" t="s">
        <v>80</v>
      </c>
      <c r="D179" s="127"/>
      <c r="E179" s="127">
        <f>1.07183</f>
        <v>1.0718300000000001</v>
      </c>
      <c r="F179" s="127">
        <f>4193.51653</f>
        <v>4193.5165299999999</v>
      </c>
      <c r="G179" s="127"/>
      <c r="H179" s="127">
        <f>3994.73672</f>
        <v>3994.7367199999999</v>
      </c>
      <c r="I179" s="186"/>
      <c r="J179" s="129"/>
    </row>
    <row r="180" spans="1:10" ht="14.1" customHeight="1" x14ac:dyDescent="0.25">
      <c r="A180" s="197"/>
      <c r="B180" s="182"/>
      <c r="C180" s="183" t="s">
        <v>81</v>
      </c>
      <c r="D180" s="127"/>
      <c r="E180" s="127">
        <f>1.31486</f>
        <v>1.3148599999999999</v>
      </c>
      <c r="F180" s="127">
        <f>2528.10227</f>
        <v>2528.1022699999999</v>
      </c>
      <c r="G180" s="127"/>
      <c r="H180" s="127">
        <f>2498.90422</f>
        <v>2498.9042199999999</v>
      </c>
      <c r="I180" s="186"/>
      <c r="J180" s="187"/>
    </row>
    <row r="181" spans="1:10" ht="14.1" customHeight="1" x14ac:dyDescent="0.25">
      <c r="A181" s="197"/>
      <c r="B181" s="182"/>
      <c r="C181" s="188" t="s">
        <v>82</v>
      </c>
      <c r="D181" s="192"/>
      <c r="E181" s="192">
        <f>2.42252</f>
        <v>2.42252</v>
      </c>
      <c r="F181" s="192">
        <f>1458.48135</f>
        <v>1458.48135</v>
      </c>
      <c r="G181" s="192"/>
      <c r="H181" s="192">
        <f>1398.44567</f>
        <v>1398.4456700000001</v>
      </c>
      <c r="I181" s="186"/>
      <c r="J181" s="187"/>
    </row>
    <row r="182" spans="1:10" ht="14.1" customHeight="1" x14ac:dyDescent="0.25">
      <c r="A182" s="1"/>
      <c r="B182" s="250"/>
      <c r="C182" s="73" t="s">
        <v>83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0"/>
    </row>
    <row r="183" spans="1:10" ht="16.5" customHeight="1" x14ac:dyDescent="0.25">
      <c r="A183" s="1"/>
      <c r="B183" s="250"/>
      <c r="C183" s="93" t="s">
        <v>84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0"/>
    </row>
    <row r="184" spans="1:10" ht="19.350000000000001" customHeight="1" x14ac:dyDescent="0.25">
      <c r="A184" s="156"/>
      <c r="B184" s="52"/>
      <c r="C184" s="74" t="s">
        <v>41</v>
      </c>
      <c r="D184" s="194">
        <f>D175+D177+D178+D182</f>
        <v>12735</v>
      </c>
      <c r="E184" s="194">
        <f>E175+E176+E177+E178+E182+E183</f>
        <v>46.148879999999998</v>
      </c>
      <c r="F184" s="194">
        <f>F175+F176+F177+F178+F182+F183</f>
        <v>12723.308919999999</v>
      </c>
      <c r="G184" s="194">
        <f>D184-F184</f>
        <v>11.691080000000511</v>
      </c>
      <c r="H184" s="194">
        <f>H175+H176+H177+H178+H182+H183</f>
        <v>11530.192370000001</v>
      </c>
      <c r="I184" s="163"/>
      <c r="J184" s="160"/>
    </row>
    <row r="185" spans="1:10" ht="42" customHeight="1" x14ac:dyDescent="0.25">
      <c r="A185" s="1"/>
      <c r="B185" s="198"/>
      <c r="C185" s="223" t="s">
        <v>132</v>
      </c>
      <c r="D185" s="223"/>
      <c r="E185" s="223"/>
      <c r="F185" s="223"/>
      <c r="G185" s="223"/>
      <c r="H185" s="220"/>
      <c r="I185" s="220"/>
      <c r="J185" s="13"/>
    </row>
    <row r="186" spans="1:10" ht="12" customHeight="1" x14ac:dyDescent="0.25">
      <c r="A186" s="156" t="s">
        <v>120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120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1" t="s">
        <v>85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120</v>
      </c>
      <c r="B190" s="1"/>
      <c r="C190" s="211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2"/>
      <c r="D191" s="233"/>
      <c r="E191" s="233"/>
      <c r="F191" s="233"/>
      <c r="G191" s="233"/>
      <c r="H191" s="154"/>
      <c r="I191" s="154"/>
      <c r="J191" s="162"/>
    </row>
    <row r="192" spans="1:10" ht="15" customHeight="1" x14ac:dyDescent="0.25">
      <c r="A192" s="150"/>
      <c r="B192" s="250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0"/>
      <c r="C193" s="255" t="s">
        <v>86</v>
      </c>
      <c r="D193" s="266">
        <v>43981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0"/>
      <c r="C194" s="244" t="s">
        <v>87</v>
      </c>
      <c r="D194" s="46">
        <v>15120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0"/>
      <c r="C195" s="244" t="s">
        <v>88</v>
      </c>
      <c r="D195" s="46">
        <v>7678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0"/>
      <c r="C196" s="57" t="s">
        <v>50</v>
      </c>
      <c r="D196" s="35">
        <v>66779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0"/>
      <c r="C197" s="101" t="s">
        <v>133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0"/>
      <c r="C198" s="101" t="s">
        <v>134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0"/>
      <c r="C199" s="101" t="s">
        <v>135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37"/>
      <c r="C200" s="263"/>
      <c r="D200" s="159"/>
      <c r="E200" s="159"/>
      <c r="F200" s="263"/>
      <c r="G200" s="263"/>
      <c r="H200" s="263"/>
      <c r="I200" s="229"/>
      <c r="J200" s="241"/>
    </row>
    <row r="201" spans="1:10" ht="23.25" customHeight="1" x14ac:dyDescent="0.25">
      <c r="A201" s="1"/>
      <c r="B201" s="250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0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0"/>
      <c r="C203" s="68" t="s">
        <v>16</v>
      </c>
      <c r="D203" s="79" t="s">
        <v>2</v>
      </c>
      <c r="E203" s="68" t="s">
        <v>143</v>
      </c>
      <c r="F203" s="68" t="s">
        <v>144</v>
      </c>
      <c r="G203" s="68" t="s">
        <v>145</v>
      </c>
      <c r="H203" s="68" t="s">
        <v>146</v>
      </c>
      <c r="I203" s="1"/>
      <c r="J203" s="120"/>
    </row>
    <row r="204" spans="1:10" ht="15" customHeight="1" x14ac:dyDescent="0.25">
      <c r="A204" s="1"/>
      <c r="B204" s="250"/>
      <c r="C204" s="90" t="s">
        <v>4</v>
      </c>
      <c r="D204" s="124">
        <v>43839</v>
      </c>
      <c r="E204" s="124">
        <f>36.1826</f>
        <v>36.182600000000001</v>
      </c>
      <c r="F204" s="124">
        <f>43031.16391</f>
        <v>43031.163910000003</v>
      </c>
      <c r="G204" s="124">
        <f>D204-F204</f>
        <v>807.83608999999706</v>
      </c>
      <c r="H204" s="124">
        <f>38050.7258</f>
        <v>38050.7258</v>
      </c>
      <c r="I204" s="244"/>
      <c r="J204" s="120"/>
    </row>
    <row r="205" spans="1:10" ht="15" customHeight="1" x14ac:dyDescent="0.25">
      <c r="A205" s="1"/>
      <c r="B205" s="250"/>
      <c r="C205" s="90" t="s">
        <v>68</v>
      </c>
      <c r="D205" s="124">
        <v>100</v>
      </c>
      <c r="E205" s="124">
        <f>6.96264</f>
        <v>6.9626400000000004</v>
      </c>
      <c r="F205" s="124">
        <f>74.60657</f>
        <v>74.606570000000005</v>
      </c>
      <c r="G205" s="124">
        <f>D205-F205</f>
        <v>25.393429999999995</v>
      </c>
      <c r="H205" s="124">
        <f>62.29237</f>
        <v>62.292369999999998</v>
      </c>
      <c r="I205" s="244"/>
      <c r="J205" s="120"/>
    </row>
    <row r="206" spans="1:10" ht="15.75" customHeight="1" x14ac:dyDescent="0.25">
      <c r="A206" s="1"/>
      <c r="B206" s="250"/>
      <c r="C206" s="146" t="s">
        <v>83</v>
      </c>
      <c r="D206" s="168">
        <v>42</v>
      </c>
      <c r="E206" s="139">
        <f>0</f>
        <v>0</v>
      </c>
      <c r="F206" s="139">
        <f>0</f>
        <v>0</v>
      </c>
      <c r="G206" s="139">
        <f>D206-F206</f>
        <v>42</v>
      </c>
      <c r="H206" s="139">
        <f>0</f>
        <v>0</v>
      </c>
      <c r="I206" s="244"/>
      <c r="J206" s="120"/>
    </row>
    <row r="207" spans="1:10" ht="16.5" customHeight="1" x14ac:dyDescent="0.25">
      <c r="A207" s="1"/>
      <c r="B207" s="250"/>
      <c r="C207" s="179" t="s">
        <v>89</v>
      </c>
      <c r="D207" s="190">
        <f>SUM(D204:D206)</f>
        <v>43981</v>
      </c>
      <c r="E207" s="190">
        <f>SUM(E204:E206)</f>
        <v>43.145240000000001</v>
      </c>
      <c r="F207" s="190">
        <f>SUM(F204:F206)</f>
        <v>43105.770480000007</v>
      </c>
      <c r="G207" s="190">
        <f>D207-F207</f>
        <v>875.2295199999935</v>
      </c>
      <c r="H207" s="190">
        <f>SUM(H204:H206)</f>
        <v>38113.018170000003</v>
      </c>
      <c r="I207" s="244"/>
      <c r="J207" s="120"/>
    </row>
    <row r="208" spans="1:10" ht="17.100000000000001" customHeight="1" x14ac:dyDescent="0.25">
      <c r="A208" s="1"/>
      <c r="B208" s="164"/>
      <c r="C208" s="201" t="s">
        <v>90</v>
      </c>
      <c r="D208" s="107"/>
      <c r="E208" s="107"/>
      <c r="F208" s="210"/>
      <c r="G208" s="210"/>
      <c r="H208" s="210"/>
      <c r="I208" s="210"/>
      <c r="J208" s="212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4"/>
    </row>
    <row r="243" spans="1:10" ht="21.75" customHeight="1" x14ac:dyDescent="0.35">
      <c r="A243" s="150"/>
      <c r="B243" s="1"/>
      <c r="C243" s="211" t="s">
        <v>138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120</v>
      </c>
      <c r="B244" s="1"/>
      <c r="C244" s="211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2"/>
      <c r="D245" s="233"/>
      <c r="E245" s="233"/>
      <c r="F245" s="233"/>
      <c r="G245" s="233"/>
      <c r="H245" s="154"/>
      <c r="I245" s="154"/>
      <c r="J245" s="162"/>
    </row>
    <row r="246" spans="1:10" ht="23.25" customHeight="1" x14ac:dyDescent="0.25">
      <c r="A246" s="1"/>
      <c r="B246" s="250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0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0"/>
      <c r="C248" s="68" t="s">
        <v>16</v>
      </c>
      <c r="D248" s="79" t="s">
        <v>2</v>
      </c>
      <c r="E248" s="68" t="s">
        <v>143</v>
      </c>
      <c r="F248" s="68" t="s">
        <v>144</v>
      </c>
      <c r="G248" s="68" t="s">
        <v>145</v>
      </c>
      <c r="H248" s="68" t="s">
        <v>146</v>
      </c>
      <c r="I248" s="1"/>
      <c r="J248" s="120"/>
    </row>
    <row r="249" spans="1:10" ht="15" customHeight="1" x14ac:dyDescent="0.25">
      <c r="A249" s="1"/>
      <c r="B249" s="250"/>
      <c r="C249" s="90" t="s">
        <v>8</v>
      </c>
      <c r="D249" s="124"/>
      <c r="E249" s="75">
        <f>4.1472</f>
        <v>4.1471999999999998</v>
      </c>
      <c r="F249" s="75">
        <f>3690.64909</f>
        <v>3690.6490899999999</v>
      </c>
      <c r="G249" s="75"/>
      <c r="H249" s="75">
        <f>2881.22107</f>
        <v>2881.2210700000001</v>
      </c>
      <c r="I249" s="244"/>
      <c r="J249" s="120"/>
    </row>
    <row r="250" spans="1:10" ht="15" customHeight="1" x14ac:dyDescent="0.25">
      <c r="A250" s="1"/>
      <c r="B250" s="250"/>
      <c r="C250" s="90" t="s">
        <v>11</v>
      </c>
      <c r="D250" s="124"/>
      <c r="E250" s="75">
        <f>40.47446</f>
        <v>40.474460000000001</v>
      </c>
      <c r="F250" s="75">
        <f>5660.33416</f>
        <v>5660.3341600000003</v>
      </c>
      <c r="G250" s="75"/>
      <c r="H250" s="75">
        <f>5201.50909</f>
        <v>5201.5090899999996</v>
      </c>
      <c r="I250" s="244"/>
      <c r="J250" s="120"/>
    </row>
    <row r="251" spans="1:10" ht="15.75" customHeight="1" x14ac:dyDescent="0.25">
      <c r="A251" s="1"/>
      <c r="B251" s="250"/>
      <c r="C251" s="146" t="s">
        <v>68</v>
      </c>
      <c r="D251" s="168"/>
      <c r="E251" s="124">
        <f>24.1883</f>
        <v>24.188300000000002</v>
      </c>
      <c r="F251" s="124">
        <f>732.58557</f>
        <v>732.58556999999996</v>
      </c>
      <c r="G251" s="168"/>
      <c r="H251" s="124">
        <f>675.34535</f>
        <v>675.34535000000005</v>
      </c>
      <c r="I251" s="244"/>
      <c r="J251" s="120"/>
    </row>
    <row r="252" spans="1:10" ht="16.5" customHeight="1" x14ac:dyDescent="0.25">
      <c r="A252" s="1"/>
      <c r="B252" s="250"/>
      <c r="C252" s="179" t="s">
        <v>89</v>
      </c>
      <c r="D252" s="190">
        <v>10454</v>
      </c>
      <c r="E252" s="190">
        <f>SUM(E249:E251)</f>
        <v>68.809960000000004</v>
      </c>
      <c r="F252" s="190">
        <f>SUM(F249:F251)</f>
        <v>10083.56882</v>
      </c>
      <c r="G252" s="190">
        <f>D252-F252</f>
        <v>370.43117999999959</v>
      </c>
      <c r="H252" s="190">
        <f>SUM(H249:H251)</f>
        <v>8758.0755099999988</v>
      </c>
      <c r="I252" s="244"/>
      <c r="J252" s="120"/>
    </row>
    <row r="253" spans="1:10" ht="17.100000000000001" customHeight="1" x14ac:dyDescent="0.25">
      <c r="A253" s="1"/>
      <c r="B253" s="164"/>
      <c r="C253" s="201"/>
      <c r="D253" s="107"/>
      <c r="E253" s="107"/>
      <c r="F253" s="210"/>
      <c r="G253" s="210"/>
      <c r="H253" s="210"/>
      <c r="I253" s="210"/>
      <c r="J253" s="212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120</v>
      </c>
      <c r="B287" s="1"/>
      <c r="C287" s="1"/>
      <c r="D287" s="1"/>
      <c r="E287" s="1"/>
      <c r="F287" s="1"/>
      <c r="G287" s="1"/>
      <c r="H287" s="1"/>
      <c r="I287" s="1"/>
      <c r="J287" s="214"/>
    </row>
    <row r="288" spans="1:10" ht="21.75" customHeight="1" x14ac:dyDescent="0.35">
      <c r="A288" s="150"/>
      <c r="B288" s="1"/>
      <c r="C288" s="211" t="s">
        <v>139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35">
      <c r="A289" s="150" t="s">
        <v>120</v>
      </c>
      <c r="B289" s="1"/>
      <c r="C289" s="211"/>
      <c r="D289" s="170"/>
      <c r="E289" s="170"/>
      <c r="F289" s="170"/>
      <c r="G289" s="170"/>
      <c r="H289" s="1"/>
      <c r="I289" s="1"/>
      <c r="J289" s="1"/>
    </row>
    <row r="290" spans="1:10" ht="12" customHeight="1" x14ac:dyDescent="0.25">
      <c r="A290" s="150"/>
      <c r="B290" s="138"/>
      <c r="C290" s="222"/>
      <c r="D290" s="233"/>
      <c r="E290" s="233"/>
      <c r="F290" s="233"/>
      <c r="G290" s="233"/>
      <c r="H290" s="154"/>
      <c r="I290" s="154"/>
      <c r="J290" s="162"/>
    </row>
    <row r="291" spans="1:10" ht="23.25" customHeight="1" x14ac:dyDescent="0.25">
      <c r="A291" s="1"/>
      <c r="B291" s="250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25">
      <c r="A292" s="1"/>
      <c r="B292" s="250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25">
      <c r="A293" s="1"/>
      <c r="B293" s="250"/>
      <c r="C293" s="68" t="s">
        <v>16</v>
      </c>
      <c r="D293" s="79" t="s">
        <v>2</v>
      </c>
      <c r="E293" s="68" t="s">
        <v>143</v>
      </c>
      <c r="F293" s="68" t="s">
        <v>144</v>
      </c>
      <c r="G293" s="68" t="s">
        <v>145</v>
      </c>
      <c r="H293" s="68" t="s">
        <v>146</v>
      </c>
      <c r="I293" s="1"/>
      <c r="J293" s="120"/>
    </row>
    <row r="294" spans="1:10" ht="15" customHeight="1" x14ac:dyDescent="0.25">
      <c r="A294" s="1"/>
      <c r="B294" s="250"/>
      <c r="C294" s="90" t="s">
        <v>8</v>
      </c>
      <c r="D294" s="124"/>
      <c r="E294" s="75">
        <f>0.4884</f>
        <v>0.4884</v>
      </c>
      <c r="F294" s="75">
        <f>5619.43404</f>
        <v>5619.4340400000001</v>
      </c>
      <c r="G294" s="75"/>
      <c r="H294" s="75">
        <f>4265.23091</f>
        <v>4265.2309100000002</v>
      </c>
      <c r="I294" s="244"/>
      <c r="J294" s="120"/>
    </row>
    <row r="295" spans="1:10" ht="15" customHeight="1" x14ac:dyDescent="0.25">
      <c r="A295" s="1"/>
      <c r="B295" s="250"/>
      <c r="C295" s="90" t="s">
        <v>11</v>
      </c>
      <c r="D295" s="124"/>
      <c r="E295" s="75">
        <f>84.68674</f>
        <v>84.68674</v>
      </c>
      <c r="F295" s="75">
        <f>4125.6696</f>
        <v>4125.6696000000002</v>
      </c>
      <c r="G295" s="75"/>
      <c r="H295" s="75">
        <f>3945.91394</f>
        <v>3945.9139399999999</v>
      </c>
      <c r="I295" s="244"/>
      <c r="J295" s="120"/>
    </row>
    <row r="296" spans="1:10" ht="15.75" customHeight="1" x14ac:dyDescent="0.25">
      <c r="A296" s="1"/>
      <c r="B296" s="250"/>
      <c r="C296" s="146" t="s">
        <v>68</v>
      </c>
      <c r="D296" s="168"/>
      <c r="E296" s="124">
        <f>7.8267</f>
        <v>7.8266999999999998</v>
      </c>
      <c r="F296" s="124">
        <f>530.16748</f>
        <v>530.16747999999995</v>
      </c>
      <c r="G296" s="168"/>
      <c r="H296" s="124">
        <f>592.06371</f>
        <v>592.06371000000001</v>
      </c>
      <c r="I296" s="244"/>
      <c r="J296" s="120"/>
    </row>
    <row r="297" spans="1:10" ht="16.5" customHeight="1" x14ac:dyDescent="0.25">
      <c r="A297" s="1"/>
      <c r="B297" s="250"/>
      <c r="C297" s="179" t="s">
        <v>89</v>
      </c>
      <c r="D297" s="190">
        <v>8076</v>
      </c>
      <c r="E297" s="190">
        <f>SUM(E294:E296)</f>
        <v>93.001840000000001</v>
      </c>
      <c r="F297" s="190">
        <f>SUM(F294:F296)</f>
        <v>10275.271120000001</v>
      </c>
      <c r="G297" s="190">
        <f>D297-F297</f>
        <v>-2199.2711200000012</v>
      </c>
      <c r="H297" s="190">
        <f>SUM(H294:H296)</f>
        <v>8803.2085600000009</v>
      </c>
      <c r="I297" s="244"/>
      <c r="J297" s="120"/>
    </row>
    <row r="298" spans="1:10" ht="17.100000000000001" customHeight="1" x14ac:dyDescent="0.25">
      <c r="A298" s="1"/>
      <c r="B298" s="164"/>
      <c r="C298" s="201"/>
      <c r="D298" s="107"/>
      <c r="E298" s="107"/>
      <c r="F298" s="210"/>
      <c r="G298" s="210"/>
      <c r="H298" s="210"/>
      <c r="I298" s="210"/>
      <c r="J298" s="212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61.5" customHeight="1" x14ac:dyDescent="0.25">
      <c r="A332" s="1" t="s">
        <v>120</v>
      </c>
      <c r="B332" s="1"/>
      <c r="C332" s="1"/>
      <c r="D332" s="1"/>
      <c r="E332" s="1"/>
      <c r="F332" s="1"/>
      <c r="G332" s="1"/>
      <c r="H332" s="1"/>
      <c r="I332" s="1"/>
      <c r="J332" s="214"/>
    </row>
    <row r="333" spans="1:10" ht="30" customHeight="1" x14ac:dyDescent="0.25">
      <c r="A333" s="214"/>
      <c r="B333" s="214"/>
      <c r="C333" s="215" t="s">
        <v>91</v>
      </c>
      <c r="D333" s="214"/>
      <c r="E333" s="214"/>
      <c r="F333" s="214"/>
      <c r="G333" s="214"/>
      <c r="H333" s="214"/>
      <c r="I333" s="214"/>
      <c r="J333" s="220"/>
    </row>
    <row r="334" spans="1:10" ht="30" customHeight="1" x14ac:dyDescent="0.25">
      <c r="A334" s="214" t="s">
        <v>120</v>
      </c>
      <c r="B334" s="214"/>
      <c r="C334" s="215"/>
      <c r="D334" s="214"/>
      <c r="E334" s="214"/>
      <c r="F334" s="214"/>
      <c r="G334" s="214"/>
      <c r="H334" s="214"/>
      <c r="I334" s="214"/>
      <c r="J334" s="220"/>
    </row>
    <row r="335" spans="1:10" ht="14.1" customHeight="1" x14ac:dyDescent="0.25">
      <c r="A335" s="1"/>
      <c r="B335" s="136"/>
      <c r="C335" s="174"/>
      <c r="D335" s="174"/>
      <c r="E335" s="174"/>
      <c r="F335" s="174"/>
      <c r="G335" s="174"/>
      <c r="H335" s="174"/>
      <c r="I335" s="174"/>
      <c r="J335" s="162"/>
    </row>
    <row r="336" spans="1:10" ht="14.1" customHeight="1" x14ac:dyDescent="0.25">
      <c r="A336" s="156"/>
      <c r="B336" s="52"/>
      <c r="C336" s="149" t="s">
        <v>1</v>
      </c>
      <c r="D336" s="185"/>
      <c r="E336" s="150"/>
      <c r="F336" s="150"/>
      <c r="G336" s="156"/>
      <c r="H336" s="156"/>
      <c r="I336" s="156"/>
      <c r="J336" s="120"/>
    </row>
    <row r="337" spans="1:10" ht="14.1" customHeight="1" x14ac:dyDescent="0.25">
      <c r="A337" s="1"/>
      <c r="B337" s="250"/>
      <c r="C337" s="255" t="s">
        <v>86</v>
      </c>
      <c r="D337" s="266">
        <v>3299</v>
      </c>
      <c r="E337" s="150"/>
      <c r="F337" s="221"/>
      <c r="G337" s="1"/>
      <c r="H337" s="1"/>
      <c r="I337" s="1"/>
      <c r="J337" s="120"/>
    </row>
    <row r="338" spans="1:10" ht="14.1" customHeight="1" x14ac:dyDescent="0.25">
      <c r="A338" s="1"/>
      <c r="B338" s="250"/>
      <c r="C338" s="244" t="s">
        <v>92</v>
      </c>
      <c r="D338" s="46">
        <v>9882</v>
      </c>
      <c r="E338" s="150"/>
      <c r="F338" s="221"/>
      <c r="G338" s="1"/>
      <c r="H338" s="1"/>
      <c r="I338" s="1"/>
      <c r="J338" s="120"/>
    </row>
    <row r="339" spans="1:10" ht="14.1" customHeight="1" x14ac:dyDescent="0.25">
      <c r="A339" s="1"/>
      <c r="B339" s="250"/>
      <c r="C339" s="244" t="s">
        <v>93</v>
      </c>
      <c r="D339" s="46">
        <v>8089</v>
      </c>
      <c r="E339" s="150"/>
      <c r="F339" s="221"/>
      <c r="G339" s="1"/>
      <c r="H339" s="1"/>
      <c r="I339" s="1"/>
      <c r="J339" s="120"/>
    </row>
    <row r="340" spans="1:10" ht="13.5" customHeight="1" x14ac:dyDescent="0.25">
      <c r="A340" s="1"/>
      <c r="B340" s="250"/>
      <c r="C340" s="244" t="s">
        <v>76</v>
      </c>
      <c r="D340" s="46">
        <v>382</v>
      </c>
      <c r="E340" s="150"/>
      <c r="F340" s="221"/>
      <c r="G340" s="1"/>
      <c r="H340" s="1"/>
      <c r="I340" s="1"/>
      <c r="J340" s="120"/>
    </row>
    <row r="341" spans="1:10" ht="14.25" customHeight="1" x14ac:dyDescent="0.25">
      <c r="A341" s="1"/>
      <c r="B341" s="250"/>
      <c r="C341" s="57" t="s">
        <v>50</v>
      </c>
      <c r="D341" s="35">
        <f>SUM(D337:D340)</f>
        <v>21652</v>
      </c>
      <c r="E341" s="150"/>
      <c r="F341" s="150"/>
      <c r="G341" s="1"/>
      <c r="H341" s="1"/>
      <c r="I341" s="1"/>
      <c r="J341" s="120"/>
    </row>
    <row r="342" spans="1:10" ht="14.1" customHeight="1" x14ac:dyDescent="0.25">
      <c r="A342" s="1"/>
      <c r="B342" s="250"/>
      <c r="C342" s="224" t="s">
        <v>94</v>
      </c>
      <c r="D342" s="225"/>
      <c r="E342" s="178"/>
      <c r="F342" s="178"/>
      <c r="G342" s="1"/>
      <c r="H342" s="1"/>
      <c r="I342" s="1"/>
      <c r="J342" s="120"/>
    </row>
    <row r="343" spans="1:10" ht="15" customHeight="1" x14ac:dyDescent="0.25">
      <c r="A343" s="1"/>
      <c r="B343" s="250"/>
      <c r="C343" s="101" t="s">
        <v>95</v>
      </c>
      <c r="D343" s="226"/>
      <c r="E343" s="1"/>
      <c r="F343" s="1"/>
      <c r="G343" s="1"/>
      <c r="H343" s="1"/>
      <c r="I343" s="1"/>
      <c r="J343" s="120"/>
    </row>
    <row r="344" spans="1:10" ht="14.25" customHeight="1" x14ac:dyDescent="0.25">
      <c r="A344" s="1"/>
      <c r="B344" s="250"/>
      <c r="C344" s="101" t="s">
        <v>96</v>
      </c>
      <c r="D344" s="1"/>
      <c r="E344" s="1"/>
      <c r="F344" s="1"/>
      <c r="G344" s="1"/>
      <c r="H344" s="1"/>
      <c r="I344" s="1"/>
      <c r="J344" s="120"/>
    </row>
    <row r="345" spans="1:10" ht="23.25" customHeight="1" x14ac:dyDescent="0.25">
      <c r="A345" s="1"/>
      <c r="B345" s="227"/>
      <c r="C345" s="230" t="s">
        <v>15</v>
      </c>
      <c r="D345" s="230"/>
      <c r="E345" s="230"/>
      <c r="F345" s="230"/>
      <c r="G345" s="230"/>
      <c r="H345" s="230"/>
      <c r="I345" s="230"/>
      <c r="J345" s="234"/>
    </row>
    <row r="346" spans="1:10" ht="14.1" customHeight="1" x14ac:dyDescent="0.25">
      <c r="A346" s="1"/>
      <c r="B346" s="236"/>
      <c r="C346" s="238"/>
      <c r="D346" s="238"/>
      <c r="E346" s="238"/>
      <c r="F346" s="238"/>
      <c r="G346" s="238"/>
      <c r="H346" s="238"/>
      <c r="I346" s="238"/>
      <c r="J346" s="120"/>
    </row>
    <row r="347" spans="1:10" ht="54" customHeight="1" x14ac:dyDescent="0.25">
      <c r="A347" s="1"/>
      <c r="B347" s="250"/>
      <c r="C347" s="68" t="s">
        <v>16</v>
      </c>
      <c r="D347" s="239" t="s">
        <v>2</v>
      </c>
      <c r="E347" s="68" t="s">
        <v>143</v>
      </c>
      <c r="F347" s="68" t="s">
        <v>144</v>
      </c>
      <c r="G347" s="68" t="s">
        <v>145</v>
      </c>
      <c r="H347" s="68" t="s">
        <v>146</v>
      </c>
      <c r="I347" s="1"/>
      <c r="J347" s="116"/>
    </row>
    <row r="348" spans="1:10" ht="14.1" customHeight="1" x14ac:dyDescent="0.25">
      <c r="A348" s="67"/>
      <c r="B348" s="78"/>
      <c r="C348" s="90" t="s">
        <v>97</v>
      </c>
      <c r="D348" s="124">
        <v>800</v>
      </c>
      <c r="E348" s="124">
        <f>4.6837</f>
        <v>4.6837</v>
      </c>
      <c r="F348" s="124">
        <f>599.37306</f>
        <v>599.37306000000001</v>
      </c>
      <c r="G348" s="124">
        <f>D348-F348</f>
        <v>200.62693999999999</v>
      </c>
      <c r="H348" s="124">
        <f>389.71482</f>
        <v>389.71481999999997</v>
      </c>
      <c r="I348" s="67"/>
      <c r="J348" s="240"/>
    </row>
    <row r="349" spans="1:10" ht="14.1" customHeight="1" x14ac:dyDescent="0.25">
      <c r="A349" s="1"/>
      <c r="B349" s="250"/>
      <c r="C349" s="90" t="s">
        <v>98</v>
      </c>
      <c r="D349" s="242">
        <v>2494</v>
      </c>
      <c r="E349" s="124">
        <f>16.00423</f>
        <v>16.00423</v>
      </c>
      <c r="F349" s="124">
        <f>2798.29639</f>
        <v>2798.29639</v>
      </c>
      <c r="G349" s="124">
        <f>D349-F349</f>
        <v>-304.29638999999997</v>
      </c>
      <c r="H349" s="124">
        <f>1763.67529</f>
        <v>1763.6752899999999</v>
      </c>
      <c r="I349" s="178"/>
      <c r="J349" s="116"/>
    </row>
    <row r="350" spans="1:10" ht="16.5" customHeight="1" x14ac:dyDescent="0.25">
      <c r="A350" s="67"/>
      <c r="B350" s="78"/>
      <c r="C350" s="146" t="s">
        <v>83</v>
      </c>
      <c r="D350" s="242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3.1032</f>
        <v>3.1032000000000002</v>
      </c>
      <c r="I350" s="67"/>
      <c r="J350" s="245"/>
    </row>
    <row r="351" spans="1:10" ht="18.75" customHeight="1" x14ac:dyDescent="0.25">
      <c r="A351" s="67"/>
      <c r="B351" s="246"/>
      <c r="C351" s="146" t="s">
        <v>99</v>
      </c>
      <c r="D351" s="218"/>
      <c r="E351" s="168">
        <f>0</f>
        <v>0</v>
      </c>
      <c r="F351" s="168">
        <f>1.81523</f>
        <v>1.8152299999999999</v>
      </c>
      <c r="G351" s="124">
        <f>D351-F351</f>
        <v>-1.8152299999999999</v>
      </c>
      <c r="H351" s="168">
        <f>6.96964</f>
        <v>6.9696400000000001</v>
      </c>
      <c r="I351" s="280"/>
      <c r="J351" s="120"/>
    </row>
    <row r="352" spans="1:10" ht="14.1" customHeight="1" x14ac:dyDescent="0.25">
      <c r="A352" s="1"/>
      <c r="B352" s="250"/>
      <c r="C352" s="179" t="s">
        <v>89</v>
      </c>
      <c r="D352" s="6">
        <f>D337</f>
        <v>3299</v>
      </c>
      <c r="E352" s="190">
        <f>SUM(E348:E351)</f>
        <v>20.687930000000001</v>
      </c>
      <c r="F352" s="190">
        <f>SUM(F348:F351)</f>
        <v>3402.2234199999998</v>
      </c>
      <c r="G352" s="190">
        <f>D352-F352</f>
        <v>-103.22341999999981</v>
      </c>
      <c r="H352" s="190">
        <f>H348+H349+H350+H351</f>
        <v>2163.4629499999996</v>
      </c>
      <c r="I352" s="1"/>
      <c r="J352" s="120"/>
    </row>
    <row r="353" spans="1:10" ht="14.1" customHeight="1" x14ac:dyDescent="0.25">
      <c r="A353" s="1"/>
      <c r="B353" s="250"/>
      <c r="C353" s="21"/>
      <c r="D353" s="34"/>
      <c r="E353" s="34"/>
      <c r="F353" s="34"/>
      <c r="G353" s="34"/>
      <c r="H353" s="34"/>
      <c r="I353" s="1"/>
      <c r="J353" s="120"/>
    </row>
    <row r="354" spans="1:10" ht="14.1" customHeight="1" x14ac:dyDescent="0.25">
      <c r="A354" s="1"/>
      <c r="B354" s="164"/>
      <c r="C354" s="107"/>
      <c r="D354" s="107"/>
      <c r="E354" s="107"/>
      <c r="F354" s="107"/>
      <c r="G354" s="106"/>
      <c r="H354" s="107"/>
      <c r="I354" s="107"/>
      <c r="J354" s="118"/>
    </row>
    <row r="355" spans="1:10" ht="14.1" customHeight="1" x14ac:dyDescent="0.25">
      <c r="A355" s="1"/>
      <c r="C355" s="150" t="s">
        <v>120</v>
      </c>
    </row>
    <row r="356" spans="1:10" ht="14.1" customHeight="1" x14ac:dyDescent="0.25">
      <c r="A356" s="1" t="s">
        <v>120</v>
      </c>
    </row>
    <row r="357" spans="1:10" ht="14.1" customHeight="1" x14ac:dyDescent="0.25">
      <c r="A357" s="1" t="s">
        <v>120</v>
      </c>
    </row>
    <row r="358" spans="1:10" ht="14.1" customHeight="1" x14ac:dyDescent="0.25">
      <c r="A358" s="1"/>
      <c r="C358" s="150" t="s">
        <v>120</v>
      </c>
    </row>
    <row r="359" spans="1:10" x14ac:dyDescent="0.25">
      <c r="A359" s="1"/>
      <c r="C359" s="150" t="s">
        <v>120</v>
      </c>
    </row>
    <row r="360" spans="1:10" ht="14.1" customHeight="1" x14ac:dyDescent="0.25">
      <c r="A360" s="1"/>
      <c r="C360" s="150" t="s">
        <v>120</v>
      </c>
    </row>
    <row r="361" spans="1:10" ht="14.1" customHeight="1" x14ac:dyDescent="0.25">
      <c r="A361" s="1"/>
      <c r="C361" s="150" t="s">
        <v>120</v>
      </c>
    </row>
    <row r="362" spans="1:10" ht="30" customHeight="1" x14ac:dyDescent="0.35">
      <c r="A362" s="214"/>
      <c r="B362" s="1"/>
      <c r="C362" s="211" t="s">
        <v>100</v>
      </c>
      <c r="D362" s="156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3"/>
      <c r="C363" s="235"/>
      <c r="D363" s="235"/>
      <c r="E363" s="235"/>
      <c r="F363" s="235"/>
      <c r="G363" s="235"/>
      <c r="H363" s="235"/>
      <c r="I363" s="235"/>
      <c r="J363" s="60"/>
    </row>
    <row r="364" spans="1:10" ht="6" customHeight="1" x14ac:dyDescent="0.25">
      <c r="B364" s="72"/>
      <c r="C364" s="150"/>
      <c r="D364" s="150"/>
      <c r="E364" s="150"/>
      <c r="F364" s="150"/>
      <c r="G364" s="150"/>
      <c r="H364" s="150"/>
      <c r="I364" s="150"/>
      <c r="J364" s="130"/>
    </row>
    <row r="365" spans="1:10" ht="18" customHeight="1" x14ac:dyDescent="0.25">
      <c r="B365" s="72"/>
      <c r="C365" s="149" t="s">
        <v>1</v>
      </c>
      <c r="D365" s="185"/>
      <c r="E365" s="149" t="s">
        <v>101</v>
      </c>
      <c r="F365" s="185"/>
      <c r="G365" s="149" t="s">
        <v>102</v>
      </c>
      <c r="H365" s="185"/>
      <c r="I365" s="150"/>
      <c r="J365" s="130"/>
    </row>
    <row r="366" spans="1:10" ht="14.25" customHeight="1" x14ac:dyDescent="0.25">
      <c r="B366" s="72"/>
      <c r="C366" s="255" t="s">
        <v>86</v>
      </c>
      <c r="D366" s="266">
        <v>27365</v>
      </c>
      <c r="E366" s="248" t="s">
        <v>4</v>
      </c>
      <c r="F366" s="103">
        <v>13865</v>
      </c>
      <c r="G366" s="244" t="s">
        <v>20</v>
      </c>
      <c r="H366" s="46">
        <v>6472</v>
      </c>
      <c r="I366" s="150"/>
      <c r="J366" s="130"/>
    </row>
    <row r="367" spans="1:10" ht="14.25" customHeight="1" x14ac:dyDescent="0.25">
      <c r="B367" s="72"/>
      <c r="C367" s="244" t="s">
        <v>93</v>
      </c>
      <c r="D367" s="46">
        <v>19433</v>
      </c>
      <c r="E367" s="178" t="s">
        <v>98</v>
      </c>
      <c r="F367" s="47">
        <v>8000</v>
      </c>
      <c r="G367" s="244" t="s">
        <v>21</v>
      </c>
      <c r="H367" s="46">
        <v>1684</v>
      </c>
      <c r="I367" s="150"/>
      <c r="J367" s="130"/>
    </row>
    <row r="368" spans="1:10" ht="14.25" customHeight="1" x14ac:dyDescent="0.25">
      <c r="B368" s="72"/>
      <c r="C368" s="244" t="s">
        <v>92</v>
      </c>
      <c r="D368" s="46">
        <v>6186</v>
      </c>
      <c r="E368" s="178" t="s">
        <v>60</v>
      </c>
      <c r="F368" s="47">
        <v>5500</v>
      </c>
      <c r="G368" s="244" t="s">
        <v>103</v>
      </c>
      <c r="H368" s="46">
        <v>4296</v>
      </c>
      <c r="I368" s="150"/>
      <c r="J368" s="130"/>
    </row>
    <row r="369" spans="1:10" ht="14.1" customHeight="1" x14ac:dyDescent="0.25">
      <c r="B369" s="72"/>
      <c r="C369" s="244"/>
      <c r="D369" s="46"/>
      <c r="E369" s="131"/>
      <c r="F369" s="144"/>
      <c r="G369" s="244" t="s">
        <v>104</v>
      </c>
      <c r="H369" s="46">
        <v>1313</v>
      </c>
      <c r="I369" s="150"/>
      <c r="J369" s="130"/>
    </row>
    <row r="370" spans="1:10" ht="14.1" customHeight="1" x14ac:dyDescent="0.25">
      <c r="B370" s="72"/>
      <c r="C370" s="57" t="s">
        <v>50</v>
      </c>
      <c r="D370" s="35">
        <v>53374</v>
      </c>
      <c r="E370" s="173" t="s">
        <v>105</v>
      </c>
      <c r="F370" s="35">
        <f>F366+F367+F368</f>
        <v>27365</v>
      </c>
      <c r="G370" s="57" t="s">
        <v>4</v>
      </c>
      <c r="H370" s="35">
        <f>SUM(H366:H369)</f>
        <v>13765</v>
      </c>
      <c r="I370" s="150"/>
      <c r="J370" s="130"/>
    </row>
    <row r="371" spans="1:10" ht="13.35" customHeight="1" x14ac:dyDescent="0.25">
      <c r="B371" s="72"/>
      <c r="C371" s="101" t="s">
        <v>121</v>
      </c>
      <c r="D371" s="178"/>
      <c r="E371" s="178"/>
      <c r="F371" s="178"/>
      <c r="G371" s="1"/>
      <c r="H371" s="178"/>
      <c r="I371" s="178"/>
      <c r="J371" s="240"/>
    </row>
    <row r="372" spans="1:10" ht="13.35" customHeight="1" x14ac:dyDescent="0.25">
      <c r="B372" s="72"/>
      <c r="C372" s="101" t="s">
        <v>106</v>
      </c>
      <c r="D372" s="1"/>
      <c r="E372" s="1"/>
      <c r="F372" s="1"/>
      <c r="G372" s="1"/>
      <c r="H372" s="1"/>
      <c r="I372" s="1"/>
      <c r="J372" s="120"/>
    </row>
    <row r="373" spans="1:10" ht="9.75" customHeight="1" x14ac:dyDescent="0.25">
      <c r="B373" s="72"/>
      <c r="C373" s="101"/>
      <c r="D373" s="1"/>
      <c r="E373" s="1"/>
      <c r="F373" s="1"/>
      <c r="G373" s="1"/>
      <c r="H373" s="1"/>
      <c r="I373" s="1"/>
      <c r="J373" s="120"/>
    </row>
    <row r="374" spans="1:10" ht="18" customHeight="1" x14ac:dyDescent="0.25">
      <c r="B374" s="72"/>
      <c r="C374" s="150"/>
      <c r="D374" s="150"/>
      <c r="E374" s="150"/>
      <c r="F374" s="150"/>
      <c r="G374" s="150"/>
      <c r="H374" s="150"/>
      <c r="I374" s="150"/>
      <c r="J374" s="130"/>
    </row>
    <row r="375" spans="1:10" ht="29.25" customHeight="1" x14ac:dyDescent="0.25">
      <c r="B375" s="227"/>
      <c r="C375" s="230" t="s">
        <v>15</v>
      </c>
      <c r="D375" s="230"/>
      <c r="E375" s="230"/>
      <c r="F375" s="230"/>
      <c r="G375" s="230"/>
      <c r="H375" s="230"/>
      <c r="I375" s="230"/>
      <c r="J375" s="234"/>
    </row>
    <row r="376" spans="1:10" ht="18.75" customHeight="1" x14ac:dyDescent="0.25">
      <c r="B376" s="198"/>
      <c r="C376" s="220"/>
      <c r="D376" s="220"/>
      <c r="E376" s="220"/>
      <c r="F376" s="220"/>
      <c r="G376" s="220"/>
      <c r="H376" s="220"/>
      <c r="I376" s="220"/>
      <c r="J376" s="13"/>
    </row>
    <row r="377" spans="1:10" ht="64.5" customHeight="1" x14ac:dyDescent="0.25">
      <c r="B377" s="72"/>
      <c r="C377" s="219" t="s">
        <v>16</v>
      </c>
      <c r="D377" s="228" t="s">
        <v>17</v>
      </c>
      <c r="E377" s="68" t="s">
        <v>107</v>
      </c>
      <c r="F377" s="219" t="s">
        <v>143</v>
      </c>
      <c r="G377" s="219" t="s">
        <v>144</v>
      </c>
      <c r="H377" s="219" t="s">
        <v>145</v>
      </c>
      <c r="I377" s="219" t="s">
        <v>146</v>
      </c>
      <c r="J377" s="130"/>
    </row>
    <row r="378" spans="1:10" ht="14.1" customHeight="1" x14ac:dyDescent="0.25">
      <c r="A378" s="214"/>
      <c r="B378" s="72"/>
      <c r="C378" s="243" t="s">
        <v>19</v>
      </c>
      <c r="D378" s="247">
        <f t="shared" ref="D378:I378" si="16">D382+D381+D380+D379</f>
        <v>13765</v>
      </c>
      <c r="E378" s="247">
        <f t="shared" si="16"/>
        <v>16102</v>
      </c>
      <c r="F378" s="249">
        <f t="shared" si="16"/>
        <v>213.23559999999998</v>
      </c>
      <c r="G378" s="249">
        <f t="shared" si="16"/>
        <v>17184.28527</v>
      </c>
      <c r="H378" s="249">
        <f>H382+H381+H380+H379</f>
        <v>-1082.2852700000001</v>
      </c>
      <c r="I378" s="249">
        <f t="shared" si="16"/>
        <v>10574.493419999999</v>
      </c>
      <c r="J378" s="130"/>
    </row>
    <row r="379" spans="1:10" ht="14.1" customHeight="1" x14ac:dyDescent="0.25">
      <c r="A379" s="214"/>
      <c r="B379" s="72"/>
      <c r="C379" s="251" t="s">
        <v>108</v>
      </c>
      <c r="D379" s="252">
        <v>6472</v>
      </c>
      <c r="E379" s="252">
        <v>8177</v>
      </c>
      <c r="F379" s="253">
        <f>0</f>
        <v>0</v>
      </c>
      <c r="G379" s="253">
        <f>10062.61318</f>
        <v>10062.61318</v>
      </c>
      <c r="H379" s="253">
        <f t="shared" ref="H379:H383" si="17">E379-G379</f>
        <v>-1885.6131800000003</v>
      </c>
      <c r="I379" s="253">
        <f>6828.5044</f>
        <v>6828.5043999999998</v>
      </c>
      <c r="J379" s="130"/>
    </row>
    <row r="380" spans="1:10" ht="14.1" customHeight="1" x14ac:dyDescent="0.25">
      <c r="A380" s="214"/>
      <c r="B380" s="72"/>
      <c r="C380" s="256" t="s">
        <v>21</v>
      </c>
      <c r="D380" s="252">
        <v>1684</v>
      </c>
      <c r="E380" s="252">
        <v>2128</v>
      </c>
      <c r="F380" s="253">
        <f>175.635</f>
        <v>175.63499999999999</v>
      </c>
      <c r="G380" s="253">
        <f>1822.9347</f>
        <v>1822.9347</v>
      </c>
      <c r="H380" s="253">
        <f t="shared" si="17"/>
        <v>305.06529999999998</v>
      </c>
      <c r="I380" s="253">
        <f>1005.95655</f>
        <v>1005.95655</v>
      </c>
      <c r="J380" s="130"/>
    </row>
    <row r="381" spans="1:10" ht="14.1" customHeight="1" x14ac:dyDescent="0.25">
      <c r="A381" s="214"/>
      <c r="B381" s="72"/>
      <c r="C381" s="256" t="s">
        <v>104</v>
      </c>
      <c r="D381" s="252">
        <v>1313</v>
      </c>
      <c r="E381" s="252">
        <v>1357</v>
      </c>
      <c r="F381" s="253">
        <f>35.208</f>
        <v>35.207999999999998</v>
      </c>
      <c r="G381" s="253">
        <f>2115.30449</f>
        <v>2115.30449</v>
      </c>
      <c r="H381" s="253">
        <f t="shared" si="17"/>
        <v>-758.30448999999999</v>
      </c>
      <c r="I381" s="253">
        <f>1708.40167</f>
        <v>1708.40167</v>
      </c>
      <c r="J381" s="130"/>
    </row>
    <row r="382" spans="1:10" ht="14.1" customHeight="1" x14ac:dyDescent="0.25">
      <c r="A382" s="214"/>
      <c r="B382" s="72"/>
      <c r="C382" s="258" t="s">
        <v>109</v>
      </c>
      <c r="D382" s="259">
        <v>4296</v>
      </c>
      <c r="E382" s="259">
        <v>4440</v>
      </c>
      <c r="F382" s="253">
        <f>2.3926</f>
        <v>2.3925999999999998</v>
      </c>
      <c r="G382" s="253">
        <f>3183.4329</f>
        <v>3183.4328999999998</v>
      </c>
      <c r="H382" s="253">
        <f t="shared" si="17"/>
        <v>1256.5671000000002</v>
      </c>
      <c r="I382" s="253">
        <f>1031.6308</f>
        <v>1031.6307999999999</v>
      </c>
      <c r="J382" s="130"/>
    </row>
    <row r="383" spans="1:10" ht="14.1" customHeight="1" x14ac:dyDescent="0.25">
      <c r="A383" s="214"/>
      <c r="B383" s="72"/>
      <c r="C383" s="261" t="s">
        <v>60</v>
      </c>
      <c r="D383" s="262">
        <v>5500</v>
      </c>
      <c r="E383" s="262">
        <v>5500</v>
      </c>
      <c r="F383" s="264">
        <f>0</f>
        <v>0</v>
      </c>
      <c r="G383" s="264">
        <f>5112.49428</f>
        <v>5112.4942799999999</v>
      </c>
      <c r="H383" s="264">
        <f t="shared" si="17"/>
        <v>387.50572000000011</v>
      </c>
      <c r="I383" s="264">
        <f>4572.45576</f>
        <v>4572.4557599999998</v>
      </c>
      <c r="J383" s="130"/>
    </row>
    <row r="384" spans="1:10" ht="14.1" customHeight="1" x14ac:dyDescent="0.25">
      <c r="A384" s="214"/>
      <c r="B384" s="72"/>
      <c r="C384" s="243" t="s">
        <v>22</v>
      </c>
      <c r="D384" s="247">
        <v>8000</v>
      </c>
      <c r="E384" s="247">
        <v>8000</v>
      </c>
      <c r="F384" s="265">
        <f>F386+F385</f>
        <v>146.98920000000001</v>
      </c>
      <c r="G384" s="265">
        <f>G386+G385</f>
        <v>4781.1508899999999</v>
      </c>
      <c r="H384" s="265">
        <f>E384-G384</f>
        <v>3218.8491100000001</v>
      </c>
      <c r="I384" s="265">
        <f>I386+I385</f>
        <v>4843.4582700000001</v>
      </c>
      <c r="J384" s="130"/>
    </row>
    <row r="385" spans="1:10" ht="14.1" customHeight="1" x14ac:dyDescent="0.25">
      <c r="A385" s="214"/>
      <c r="B385" s="72"/>
      <c r="C385" s="256" t="s">
        <v>54</v>
      </c>
      <c r="D385" s="267"/>
      <c r="E385" s="252"/>
      <c r="F385" s="253">
        <f>0</f>
        <v>0</v>
      </c>
      <c r="G385" s="253">
        <f>864.93494</f>
        <v>864.93493999999998</v>
      </c>
      <c r="H385" s="253"/>
      <c r="I385" s="253">
        <f>1158.2507</f>
        <v>1158.2507000000001</v>
      </c>
      <c r="J385" s="130"/>
    </row>
    <row r="386" spans="1:10" ht="14.1" customHeight="1" x14ac:dyDescent="0.25">
      <c r="A386" s="214"/>
      <c r="B386" s="72"/>
      <c r="C386" s="269" t="s">
        <v>110</v>
      </c>
      <c r="D386" s="270"/>
      <c r="E386" s="273"/>
      <c r="F386" s="274">
        <f>146.9892</f>
        <v>146.98920000000001</v>
      </c>
      <c r="G386" s="274">
        <f>3916.21595</f>
        <v>3916.2159499999998</v>
      </c>
      <c r="H386" s="274"/>
      <c r="I386" s="274">
        <f>3685.20757</f>
        <v>3685.20757</v>
      </c>
      <c r="J386" s="130"/>
    </row>
    <row r="387" spans="1:10" ht="14.1" customHeight="1" x14ac:dyDescent="0.25">
      <c r="A387" s="214"/>
      <c r="B387" s="72"/>
      <c r="C387" s="261" t="s">
        <v>34</v>
      </c>
      <c r="D387" s="262">
        <v>10</v>
      </c>
      <c r="E387" s="262">
        <v>10</v>
      </c>
      <c r="F387" s="264">
        <f>0</f>
        <v>0</v>
      </c>
      <c r="G387" s="264">
        <f>0.7485</f>
        <v>0.74850000000000005</v>
      </c>
      <c r="H387" s="264">
        <f>E387-G387</f>
        <v>9.2515000000000001</v>
      </c>
      <c r="I387" s="264">
        <f>0.4968</f>
        <v>0.49680000000000002</v>
      </c>
      <c r="J387" s="130"/>
    </row>
    <row r="388" spans="1:10" ht="14.1" customHeight="1" x14ac:dyDescent="0.25">
      <c r="A388" s="214"/>
      <c r="B388" s="72"/>
      <c r="C388" s="275" t="s">
        <v>111</v>
      </c>
      <c r="D388" s="278"/>
      <c r="E388" s="279"/>
      <c r="F388" s="264">
        <f>0.1068</f>
        <v>0.10680000000000001</v>
      </c>
      <c r="G388" s="264">
        <f>124.40893</f>
        <v>124.40893</v>
      </c>
      <c r="H388" s="264">
        <f>E388-G388</f>
        <v>-124.40893</v>
      </c>
      <c r="I388" s="264">
        <f>242.11936</f>
        <v>242.11936</v>
      </c>
      <c r="J388" s="130"/>
    </row>
    <row r="389" spans="1:10" ht="19.5" customHeight="1" x14ac:dyDescent="0.25">
      <c r="A389" s="214"/>
      <c r="B389" s="72"/>
      <c r="C389" s="281" t="s">
        <v>41</v>
      </c>
      <c r="D389" s="282">
        <f>D378+D383+D384+D387+D388</f>
        <v>27275</v>
      </c>
      <c r="E389" s="282">
        <f>E378+E383+E384+E387+E388</f>
        <v>29612</v>
      </c>
      <c r="F389" s="283">
        <f t="shared" ref="F389:I389" si="18">F378+F383+F384+F387+F388</f>
        <v>360.33159999999998</v>
      </c>
      <c r="G389" s="283">
        <f t="shared" si="18"/>
        <v>27203.087870000003</v>
      </c>
      <c r="H389" s="283">
        <f>H378+H383+H384+H387+H388</f>
        <v>2408.9121299999997</v>
      </c>
      <c r="I389" s="283">
        <f t="shared" si="18"/>
        <v>20233.02361</v>
      </c>
      <c r="J389" s="130"/>
    </row>
    <row r="390" spans="1:10" ht="14.1" customHeight="1" x14ac:dyDescent="0.25">
      <c r="A390" s="214"/>
      <c r="B390" s="72"/>
      <c r="C390" s="161" t="s">
        <v>112</v>
      </c>
      <c r="D390" s="285"/>
      <c r="E390" s="285"/>
      <c r="F390" s="4"/>
      <c r="G390" s="4"/>
      <c r="H390" s="5"/>
      <c r="I390" s="5"/>
      <c r="J390" s="130"/>
    </row>
    <row r="391" spans="1:10" ht="14.1" customHeight="1" x14ac:dyDescent="0.25">
      <c r="A391" s="214"/>
      <c r="B391" s="72"/>
      <c r="C391" s="101" t="s">
        <v>122</v>
      </c>
      <c r="D391" s="285"/>
      <c r="E391" s="285"/>
      <c r="F391" s="4"/>
      <c r="G391" s="4"/>
      <c r="H391" s="7"/>
      <c r="I391" s="5"/>
      <c r="J391" s="130"/>
    </row>
    <row r="392" spans="1:10" ht="14.1" customHeight="1" x14ac:dyDescent="0.25">
      <c r="A392" s="214"/>
      <c r="B392" s="72"/>
      <c r="C392" s="101" t="s">
        <v>123</v>
      </c>
      <c r="D392" s="285"/>
      <c r="E392" s="285"/>
      <c r="F392" s="4"/>
      <c r="G392" s="4"/>
      <c r="H392" s="5"/>
      <c r="I392" s="7"/>
      <c r="J392" s="130"/>
    </row>
    <row r="393" spans="1:10" ht="15.75" customHeight="1" x14ac:dyDescent="0.25">
      <c r="A393" s="214"/>
      <c r="B393" s="8"/>
      <c r="C393" s="9"/>
      <c r="D393" s="107"/>
      <c r="E393" s="107"/>
      <c r="F393" s="107"/>
      <c r="G393" s="107"/>
      <c r="H393" s="107"/>
      <c r="I393" s="107"/>
      <c r="J393" s="12"/>
    </row>
    <row r="394" spans="1:10" ht="15.75" customHeight="1" x14ac:dyDescent="0.25">
      <c r="A394" s="214"/>
      <c r="B394" s="150" t="s">
        <v>120</v>
      </c>
      <c r="C394" s="14"/>
      <c r="D394" s="1"/>
      <c r="E394" s="1"/>
      <c r="F394" s="1"/>
      <c r="G394" s="1"/>
      <c r="H394" s="1"/>
      <c r="I394" s="1"/>
      <c r="J394" s="150"/>
    </row>
    <row r="395" spans="1:10" ht="294.75" customHeight="1" x14ac:dyDescent="0.25">
      <c r="A395" s="214"/>
      <c r="B395" s="150" t="s">
        <v>120</v>
      </c>
      <c r="C395" s="14"/>
      <c r="D395" s="1"/>
      <c r="E395" s="1"/>
      <c r="F395" s="1"/>
      <c r="G395" s="1"/>
      <c r="H395" s="1"/>
      <c r="I395" s="1"/>
      <c r="J395" s="150"/>
    </row>
    <row r="396" spans="1:10" ht="14.1" customHeight="1" x14ac:dyDescent="0.25">
      <c r="A396" s="214"/>
      <c r="C396" s="150" t="s">
        <v>120</v>
      </c>
      <c r="D396" s="156"/>
    </row>
    <row r="397" spans="1:10" ht="14.1" customHeight="1" x14ac:dyDescent="0.25">
      <c r="A397" s="214"/>
      <c r="B397" s="123"/>
      <c r="C397" s="235"/>
      <c r="D397" s="17"/>
      <c r="E397" s="235"/>
      <c r="F397" s="235"/>
      <c r="G397" s="235"/>
      <c r="H397" s="235"/>
      <c r="I397" s="235"/>
      <c r="J397" s="60"/>
    </row>
    <row r="398" spans="1:10" ht="14.1" customHeight="1" x14ac:dyDescent="0.25">
      <c r="A398" s="214"/>
      <c r="B398" s="72"/>
      <c r="C398" s="215" t="s">
        <v>113</v>
      </c>
      <c r="D398" s="156"/>
      <c r="E398" s="150"/>
      <c r="G398" s="150"/>
      <c r="H398" s="150"/>
      <c r="I398" s="150"/>
      <c r="J398" s="130"/>
    </row>
    <row r="399" spans="1:10" ht="14.1" customHeight="1" x14ac:dyDescent="0.25">
      <c r="A399" s="214"/>
      <c r="B399" s="72"/>
      <c r="C399" s="150"/>
      <c r="D399" s="156"/>
      <c r="E399" s="150"/>
      <c r="G399" s="150"/>
      <c r="H399" s="150"/>
      <c r="I399" s="150"/>
      <c r="J399" s="130"/>
    </row>
    <row r="400" spans="1:10" ht="14.1" customHeight="1" x14ac:dyDescent="0.25">
      <c r="A400" s="214"/>
      <c r="B400" s="72"/>
      <c r="C400" s="149" t="s">
        <v>114</v>
      </c>
      <c r="D400" s="185"/>
      <c r="E400" s="150"/>
      <c r="F400" s="150"/>
      <c r="G400" s="150"/>
      <c r="H400" s="150"/>
      <c r="I400" s="150"/>
      <c r="J400" s="130"/>
    </row>
    <row r="401" spans="1:10" ht="14.1" customHeight="1" x14ac:dyDescent="0.25">
      <c r="A401" s="214"/>
      <c r="B401" s="72"/>
      <c r="C401" s="255" t="s">
        <v>6</v>
      </c>
      <c r="D401" s="266">
        <v>3530</v>
      </c>
      <c r="E401" s="150"/>
      <c r="F401" s="150"/>
      <c r="G401" s="150"/>
      <c r="H401" s="150"/>
      <c r="I401" s="150"/>
      <c r="J401" s="130"/>
    </row>
    <row r="402" spans="1:10" ht="14.1" customHeight="1" x14ac:dyDescent="0.25">
      <c r="A402" s="214"/>
      <c r="B402" s="72"/>
      <c r="C402" s="244" t="s">
        <v>93</v>
      </c>
      <c r="D402" s="46">
        <v>2471</v>
      </c>
      <c r="E402" s="150"/>
      <c r="G402" s="150"/>
      <c r="H402" s="150"/>
      <c r="I402" s="150"/>
      <c r="J402" s="130"/>
    </row>
    <row r="403" spans="1:10" ht="14.1" customHeight="1" x14ac:dyDescent="0.25">
      <c r="A403" s="214"/>
      <c r="B403" s="72"/>
      <c r="C403" s="244" t="s">
        <v>76</v>
      </c>
      <c r="D403" s="46">
        <v>123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4"/>
      <c r="B404" s="72"/>
      <c r="C404" s="57" t="s">
        <v>50</v>
      </c>
      <c r="D404" s="35">
        <v>6076</v>
      </c>
      <c r="E404" s="150"/>
      <c r="F404" s="150"/>
      <c r="G404" s="150"/>
      <c r="H404" s="150"/>
      <c r="I404" s="150"/>
      <c r="J404" s="130"/>
    </row>
    <row r="405" spans="1:10" ht="14.1" customHeight="1" x14ac:dyDescent="0.25">
      <c r="A405" s="214"/>
      <c r="B405" s="72"/>
      <c r="C405" s="288" t="s">
        <v>141</v>
      </c>
      <c r="D405" s="288"/>
      <c r="E405" s="288"/>
      <c r="F405" s="288"/>
      <c r="G405" s="288"/>
      <c r="H405" s="288"/>
      <c r="I405" s="150"/>
      <c r="J405" s="130"/>
    </row>
    <row r="406" spans="1:10" ht="14.1" customHeight="1" x14ac:dyDescent="0.25">
      <c r="A406" s="214"/>
      <c r="B406" s="72"/>
      <c r="C406" s="288"/>
      <c r="D406" s="288"/>
      <c r="E406" s="288"/>
      <c r="F406" s="288"/>
      <c r="G406" s="288"/>
      <c r="H406" s="288"/>
      <c r="I406" s="150"/>
      <c r="J406" s="130"/>
    </row>
    <row r="407" spans="1:10" ht="14.1" customHeight="1" x14ac:dyDescent="0.25">
      <c r="A407" s="214"/>
      <c r="B407" s="72"/>
      <c r="C407" s="150"/>
      <c r="D407" s="156"/>
      <c r="E407" s="150"/>
      <c r="F407" s="150"/>
      <c r="G407" s="150"/>
      <c r="H407" s="150"/>
      <c r="I407" s="150"/>
      <c r="J407" s="130"/>
    </row>
    <row r="408" spans="1:10" ht="14.1" customHeight="1" x14ac:dyDescent="0.25">
      <c r="A408" s="214"/>
      <c r="B408" s="72"/>
      <c r="C408" s="150"/>
      <c r="D408" s="150"/>
      <c r="E408" s="150"/>
      <c r="F408" s="150"/>
      <c r="G408" s="150"/>
      <c r="H408" s="150"/>
      <c r="I408" s="150"/>
      <c r="J408" s="130"/>
    </row>
    <row r="409" spans="1:10" ht="29.25" customHeight="1" x14ac:dyDescent="0.25">
      <c r="A409" s="214"/>
      <c r="B409" s="227"/>
      <c r="C409" s="230" t="s">
        <v>15</v>
      </c>
      <c r="D409" s="230"/>
      <c r="E409" s="230"/>
      <c r="F409" s="230"/>
      <c r="G409" s="230"/>
      <c r="H409" s="230"/>
      <c r="I409" s="230"/>
      <c r="J409" s="234"/>
    </row>
    <row r="410" spans="1:10" ht="78" customHeight="1" x14ac:dyDescent="0.25">
      <c r="A410" s="214"/>
      <c r="B410" s="198"/>
      <c r="C410" s="20" t="s">
        <v>115</v>
      </c>
      <c r="D410" s="22" t="s">
        <v>116</v>
      </c>
      <c r="E410" s="20" t="s">
        <v>143</v>
      </c>
      <c r="F410" s="20" t="s">
        <v>144</v>
      </c>
      <c r="G410" s="25" t="s">
        <v>145</v>
      </c>
      <c r="H410" s="20" t="s">
        <v>146</v>
      </c>
      <c r="I410" s="220"/>
      <c r="J410" s="13"/>
    </row>
    <row r="411" spans="1:10" ht="14.1" customHeight="1" x14ac:dyDescent="0.25">
      <c r="A411" s="214"/>
      <c r="B411" s="72"/>
      <c r="C411" s="261" t="s">
        <v>117</v>
      </c>
      <c r="D411" s="204">
        <v>1235</v>
      </c>
      <c r="E411" s="26">
        <f>SUM(E412:E413)</f>
        <v>0</v>
      </c>
      <c r="F411" s="26">
        <f>SUM(F412:F413)</f>
        <v>986.73223000000007</v>
      </c>
      <c r="G411" s="85">
        <f>D411-F411</f>
        <v>248.26776999999993</v>
      </c>
      <c r="H411" s="26">
        <f>SUM(H412:H413)</f>
        <v>1838.2897400000002</v>
      </c>
      <c r="I411" s="27"/>
      <c r="J411" s="130"/>
    </row>
    <row r="412" spans="1:10" ht="14.1" customHeight="1" x14ac:dyDescent="0.25">
      <c r="A412" s="214"/>
      <c r="B412" s="72"/>
      <c r="C412" s="29" t="s">
        <v>8</v>
      </c>
      <c r="E412" s="205">
        <f>0</f>
        <v>0</v>
      </c>
      <c r="F412" s="205">
        <f>752.15323</f>
        <v>752.15323000000001</v>
      </c>
      <c r="G412" s="206"/>
      <c r="H412" s="205">
        <f>1442.8911</f>
        <v>1442.8911000000001</v>
      </c>
      <c r="I412" s="150"/>
      <c r="J412" s="130"/>
    </row>
    <row r="413" spans="1:10" ht="14.1" customHeight="1" x14ac:dyDescent="0.25">
      <c r="A413" s="214"/>
      <c r="B413" s="72"/>
      <c r="C413" s="29" t="s">
        <v>11</v>
      </c>
      <c r="D413" s="207"/>
      <c r="E413" s="208">
        <f>0</f>
        <v>0</v>
      </c>
      <c r="F413" s="208">
        <f>234.579</f>
        <v>234.57900000000001</v>
      </c>
      <c r="G413" s="209"/>
      <c r="H413" s="208">
        <f>395.39864</f>
        <v>395.39864</v>
      </c>
      <c r="I413" s="150"/>
      <c r="J413" s="130"/>
    </row>
    <row r="414" spans="1:10" ht="14.1" customHeight="1" x14ac:dyDescent="0.25">
      <c r="A414" s="214"/>
      <c r="B414" s="72"/>
      <c r="C414" s="261" t="s">
        <v>118</v>
      </c>
      <c r="D414" s="10">
        <v>1060</v>
      </c>
      <c r="E414" s="26">
        <f>SUM(E415:E416)</f>
        <v>42.346499999999999</v>
      </c>
      <c r="F414" s="26">
        <f>SUM(F415:F416)</f>
        <v>198.98699999999999</v>
      </c>
      <c r="G414" s="85">
        <f>D414-F414</f>
        <v>861.01300000000003</v>
      </c>
      <c r="H414" s="26">
        <f>SUM(H415:H416)</f>
        <v>285.70704000000001</v>
      </c>
      <c r="I414" s="27"/>
      <c r="J414" s="130"/>
    </row>
    <row r="415" spans="1:10" ht="14.1" customHeight="1" x14ac:dyDescent="0.25">
      <c r="A415" s="214"/>
      <c r="B415" s="72"/>
      <c r="C415" s="29" t="s">
        <v>8</v>
      </c>
      <c r="D415" s="42"/>
      <c r="E415" s="30">
        <f>33.4655</f>
        <v>33.465499999999999</v>
      </c>
      <c r="F415" s="30">
        <f>142.1495</f>
        <v>142.14949999999999</v>
      </c>
      <c r="G415" s="97"/>
      <c r="H415" s="30">
        <f>231.9818</f>
        <v>231.98179999999999</v>
      </c>
      <c r="I415" s="150"/>
      <c r="J415" s="130"/>
    </row>
    <row r="416" spans="1:10" ht="14.1" customHeight="1" x14ac:dyDescent="0.25">
      <c r="A416" s="214"/>
      <c r="B416" s="72"/>
      <c r="C416" s="29" t="s">
        <v>11</v>
      </c>
      <c r="D416" s="217"/>
      <c r="E416" s="30">
        <f>8.881</f>
        <v>8.8810000000000002</v>
      </c>
      <c r="F416" s="30">
        <f>56.8375</f>
        <v>56.837499999999999</v>
      </c>
      <c r="G416" s="108"/>
      <c r="H416" s="30">
        <f>53.72524</f>
        <v>53.725239999999999</v>
      </c>
      <c r="I416" s="150"/>
      <c r="J416" s="130"/>
    </row>
    <row r="417" spans="1:10" ht="14.1" customHeight="1" x14ac:dyDescent="0.25">
      <c r="A417" s="214"/>
      <c r="B417" s="72"/>
      <c r="C417" s="261" t="s">
        <v>119</v>
      </c>
      <c r="D417" s="10">
        <v>1235</v>
      </c>
      <c r="E417" s="36">
        <f>SUM(E418:E419)</f>
        <v>0</v>
      </c>
      <c r="F417" s="36">
        <f>SUM(F418:F419)</f>
        <v>0</v>
      </c>
      <c r="G417" s="85">
        <f>D417-F417</f>
        <v>1235</v>
      </c>
      <c r="H417" s="36">
        <f>SUM(H418:H419)</f>
        <v>0</v>
      </c>
      <c r="I417" s="150"/>
      <c r="J417" s="130"/>
    </row>
    <row r="418" spans="1:10" ht="14.1" customHeight="1" x14ac:dyDescent="0.25">
      <c r="A418" s="214"/>
      <c r="B418" s="72"/>
      <c r="C418" s="29" t="s">
        <v>8</v>
      </c>
      <c r="D418" s="42"/>
      <c r="E418" s="30">
        <f>0</f>
        <v>0</v>
      </c>
      <c r="F418" s="30">
        <f>0</f>
        <v>0</v>
      </c>
      <c r="G418" s="97"/>
      <c r="H418" s="30">
        <f>0</f>
        <v>0</v>
      </c>
      <c r="I418" s="150"/>
      <c r="J418" s="130"/>
    </row>
    <row r="419" spans="1:10" ht="14.1" customHeight="1" x14ac:dyDescent="0.25">
      <c r="A419" s="214"/>
      <c r="B419" s="72"/>
      <c r="C419" s="29" t="s">
        <v>11</v>
      </c>
      <c r="D419" s="217"/>
      <c r="E419" s="30">
        <f>0</f>
        <v>0</v>
      </c>
      <c r="F419" s="30">
        <f>0</f>
        <v>0</v>
      </c>
      <c r="G419" s="108"/>
      <c r="H419" s="30">
        <f>0</f>
        <v>0</v>
      </c>
      <c r="I419" s="150"/>
      <c r="J419" s="130"/>
    </row>
    <row r="420" spans="1:10" ht="14.1" customHeight="1" x14ac:dyDescent="0.25">
      <c r="A420" s="214"/>
      <c r="B420" s="72"/>
      <c r="C420" s="275" t="s">
        <v>99</v>
      </c>
      <c r="D420" s="37"/>
      <c r="E420" s="94">
        <f>0</f>
        <v>0</v>
      </c>
      <c r="F420" s="94">
        <f>0</f>
        <v>0</v>
      </c>
      <c r="G420" s="94">
        <f>D420-F420</f>
        <v>0</v>
      </c>
      <c r="H420" s="94">
        <f>0</f>
        <v>0</v>
      </c>
      <c r="I420" s="150"/>
      <c r="J420" s="130"/>
    </row>
    <row r="421" spans="1:10" ht="14.1" customHeight="1" x14ac:dyDescent="0.25">
      <c r="A421" s="214"/>
      <c r="B421" s="72"/>
      <c r="C421" s="281" t="s">
        <v>89</v>
      </c>
      <c r="D421" s="39"/>
      <c r="E421" s="40">
        <f>E411+E414+E417+E420</f>
        <v>42.346499999999999</v>
      </c>
      <c r="F421" s="40">
        <f>F411+F414+F417+F420</f>
        <v>1185.7192300000002</v>
      </c>
      <c r="G421" s="41"/>
      <c r="H421" s="40">
        <f>H411+H414+H417+H420</f>
        <v>2123.9967800000004</v>
      </c>
      <c r="I421" s="27"/>
      <c r="J421" s="130"/>
    </row>
    <row r="422" spans="1:10" ht="42" customHeight="1" x14ac:dyDescent="0.25">
      <c r="A422" s="214"/>
      <c r="B422" s="72"/>
      <c r="C422" s="289" t="s">
        <v>142</v>
      </c>
      <c r="D422" s="289"/>
      <c r="E422" s="289"/>
      <c r="F422" s="289"/>
      <c r="G422" s="289"/>
      <c r="H422" s="289"/>
      <c r="I422" s="289"/>
      <c r="J422" s="290"/>
    </row>
    <row r="423" spans="1:10" ht="14.1" customHeight="1" x14ac:dyDescent="0.25">
      <c r="A423" s="214"/>
      <c r="B423" s="8"/>
      <c r="C423" s="210"/>
      <c r="D423" s="199"/>
      <c r="E423" s="210"/>
      <c r="F423" s="210"/>
      <c r="G423" s="210"/>
      <c r="H423" s="210"/>
      <c r="I423" s="210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3">
    <mergeCell ref="B2:J2"/>
    <mergeCell ref="B9:J9"/>
    <mergeCell ref="C11:D11"/>
    <mergeCell ref="E11:F11"/>
    <mergeCell ref="G11:H11"/>
    <mergeCell ref="C405:H406"/>
    <mergeCell ref="C422:J422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47&amp;R27.11.2023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2023-11-27T15:01:10Z</dcterms:modified>
</cp:coreProperties>
</file>