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Settings\Desktop\"/>
    </mc:Choice>
  </mc:AlternateContent>
  <xr:revisionPtr revIDLastSave="0" documentId="13_ncr:1_{0C9F895B-9904-47F7-8ECF-4661F4E2A3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ukesstatistikk!$B$1:$J$306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4" i="1" l="1"/>
  <c r="H303" i="1"/>
  <c r="G303" i="1"/>
  <c r="F303" i="1"/>
  <c r="E303" i="1"/>
  <c r="H302" i="1"/>
  <c r="F302" i="1"/>
  <c r="E302" i="1"/>
  <c r="H301" i="1"/>
  <c r="F301" i="1"/>
  <c r="E301" i="1"/>
  <c r="H300" i="1"/>
  <c r="F300" i="1"/>
  <c r="F304" i="1" s="1"/>
  <c r="G304" i="1" s="1"/>
  <c r="E300" i="1"/>
  <c r="E304" i="1" s="1"/>
  <c r="H299" i="1"/>
  <c r="F299" i="1"/>
  <c r="E299" i="1"/>
  <c r="H298" i="1"/>
  <c r="F298" i="1"/>
  <c r="E298" i="1"/>
  <c r="H297" i="1"/>
  <c r="G297" i="1"/>
  <c r="F297" i="1"/>
  <c r="E297" i="1"/>
  <c r="H296" i="1"/>
  <c r="F296" i="1"/>
  <c r="E296" i="1"/>
  <c r="H295" i="1"/>
  <c r="F295" i="1"/>
  <c r="E295" i="1"/>
  <c r="H294" i="1"/>
  <c r="H304" i="1" s="1"/>
  <c r="F294" i="1"/>
  <c r="G294" i="1" s="1"/>
  <c r="E294" i="1"/>
  <c r="G273" i="1"/>
  <c r="E273" i="1"/>
  <c r="D273" i="1"/>
  <c r="I272" i="1"/>
  <c r="H272" i="1"/>
  <c r="G272" i="1"/>
  <c r="F272" i="1"/>
  <c r="I271" i="1"/>
  <c r="H271" i="1"/>
  <c r="G271" i="1"/>
  <c r="F271" i="1"/>
  <c r="I270" i="1"/>
  <c r="G270" i="1"/>
  <c r="F270" i="1"/>
  <c r="I269" i="1"/>
  <c r="G269" i="1"/>
  <c r="F269" i="1"/>
  <c r="I268" i="1"/>
  <c r="H268" i="1"/>
  <c r="G268" i="1"/>
  <c r="F268" i="1"/>
  <c r="I267" i="1"/>
  <c r="H267" i="1"/>
  <c r="G267" i="1"/>
  <c r="F267" i="1"/>
  <c r="I266" i="1"/>
  <c r="H266" i="1"/>
  <c r="G266" i="1"/>
  <c r="F266" i="1"/>
  <c r="I265" i="1"/>
  <c r="H265" i="1"/>
  <c r="H262" i="1" s="1"/>
  <c r="H273" i="1" s="1"/>
  <c r="G265" i="1"/>
  <c r="F265" i="1"/>
  <c r="I264" i="1"/>
  <c r="H264" i="1"/>
  <c r="G264" i="1"/>
  <c r="F264" i="1"/>
  <c r="I263" i="1"/>
  <c r="H263" i="1"/>
  <c r="G263" i="1"/>
  <c r="F263" i="1"/>
  <c r="I262" i="1"/>
  <c r="I273" i="1" s="1"/>
  <c r="G262" i="1"/>
  <c r="F262" i="1"/>
  <c r="F273" i="1" s="1"/>
  <c r="E262" i="1"/>
  <c r="D262" i="1"/>
  <c r="H254" i="1"/>
  <c r="F254" i="1"/>
  <c r="D251" i="1"/>
  <c r="D250" i="1"/>
  <c r="H241" i="1"/>
  <c r="G241" i="1"/>
  <c r="F241" i="1"/>
  <c r="E241" i="1"/>
  <c r="D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G237" i="1"/>
  <c r="F237" i="1"/>
  <c r="E237" i="1"/>
  <c r="D230" i="1"/>
  <c r="H219" i="1"/>
  <c r="G219" i="1"/>
  <c r="F219" i="1"/>
  <c r="D219" i="1"/>
  <c r="H218" i="1"/>
  <c r="G218" i="1"/>
  <c r="F218" i="1"/>
  <c r="E218" i="1"/>
  <c r="H217" i="1"/>
  <c r="F217" i="1"/>
  <c r="E217" i="1"/>
  <c r="H216" i="1"/>
  <c r="F216" i="1"/>
  <c r="E216" i="1"/>
  <c r="H215" i="1"/>
  <c r="G215" i="1"/>
  <c r="F215" i="1"/>
  <c r="E215" i="1"/>
  <c r="E219" i="1" s="1"/>
  <c r="G206" i="1"/>
  <c r="F206" i="1"/>
  <c r="E206" i="1"/>
  <c r="D206" i="1"/>
  <c r="H205" i="1"/>
  <c r="G205" i="1"/>
  <c r="F205" i="1"/>
  <c r="E205" i="1"/>
  <c r="H204" i="1"/>
  <c r="F204" i="1"/>
  <c r="E204" i="1"/>
  <c r="H203" i="1"/>
  <c r="F203" i="1"/>
  <c r="E203" i="1"/>
  <c r="H202" i="1"/>
  <c r="H206" i="1" s="1"/>
  <c r="G202" i="1"/>
  <c r="F202" i="1"/>
  <c r="E202" i="1"/>
  <c r="I192" i="1"/>
  <c r="G192" i="1"/>
  <c r="H192" i="1" s="1"/>
  <c r="F192" i="1"/>
  <c r="E192" i="1"/>
  <c r="D192" i="1"/>
  <c r="I191" i="1"/>
  <c r="H191" i="1"/>
  <c r="G191" i="1"/>
  <c r="F191" i="1"/>
  <c r="I190" i="1"/>
  <c r="H190" i="1"/>
  <c r="G190" i="1"/>
  <c r="F190" i="1"/>
  <c r="I189" i="1"/>
  <c r="H189" i="1"/>
  <c r="G189" i="1"/>
  <c r="F189" i="1"/>
  <c r="H169" i="1"/>
  <c r="E169" i="1"/>
  <c r="D169" i="1"/>
  <c r="H168" i="1"/>
  <c r="G168" i="1"/>
  <c r="F168" i="1"/>
  <c r="E168" i="1"/>
  <c r="H167" i="1"/>
  <c r="G167" i="1"/>
  <c r="F167" i="1"/>
  <c r="E167" i="1"/>
  <c r="H166" i="1"/>
  <c r="F166" i="1"/>
  <c r="E166" i="1"/>
  <c r="H165" i="1"/>
  <c r="F165" i="1"/>
  <c r="E165" i="1"/>
  <c r="H164" i="1"/>
  <c r="F164" i="1"/>
  <c r="E164" i="1"/>
  <c r="H163" i="1"/>
  <c r="F163" i="1"/>
  <c r="F169" i="1" s="1"/>
  <c r="G169" i="1" s="1"/>
  <c r="E163" i="1"/>
  <c r="H162" i="1"/>
  <c r="G162" i="1"/>
  <c r="F162" i="1"/>
  <c r="E162" i="1"/>
  <c r="H161" i="1"/>
  <c r="F161" i="1"/>
  <c r="E161" i="1"/>
  <c r="H160" i="1"/>
  <c r="G160" i="1"/>
  <c r="F160" i="1"/>
  <c r="E160" i="1"/>
  <c r="D137" i="1"/>
  <c r="I135" i="1"/>
  <c r="H135" i="1"/>
  <c r="G135" i="1"/>
  <c r="F135" i="1"/>
  <c r="I134" i="1"/>
  <c r="H134" i="1"/>
  <c r="G134" i="1"/>
  <c r="F134" i="1"/>
  <c r="H133" i="1"/>
  <c r="I132" i="1"/>
  <c r="H132" i="1"/>
  <c r="G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F129" i="1"/>
  <c r="I128" i="1"/>
  <c r="H128" i="1"/>
  <c r="G128" i="1"/>
  <c r="F128" i="1"/>
  <c r="I127" i="1"/>
  <c r="H127" i="1"/>
  <c r="H126" i="1" s="1"/>
  <c r="G127" i="1"/>
  <c r="F127" i="1"/>
  <c r="I126" i="1"/>
  <c r="G126" i="1"/>
  <c r="F126" i="1"/>
  <c r="E126" i="1"/>
  <c r="D126" i="1"/>
  <c r="I125" i="1"/>
  <c r="H125" i="1"/>
  <c r="H121" i="1" s="1"/>
  <c r="H120" i="1" s="1"/>
  <c r="G125" i="1"/>
  <c r="F125" i="1"/>
  <c r="I124" i="1"/>
  <c r="H124" i="1"/>
  <c r="G124" i="1"/>
  <c r="F124" i="1"/>
  <c r="I123" i="1"/>
  <c r="H123" i="1"/>
  <c r="G123" i="1"/>
  <c r="F123" i="1"/>
  <c r="I122" i="1"/>
  <c r="H122" i="1"/>
  <c r="G122" i="1"/>
  <c r="F122" i="1"/>
  <c r="I121" i="1"/>
  <c r="I120" i="1" s="1"/>
  <c r="G121" i="1"/>
  <c r="F121" i="1"/>
  <c r="F120" i="1" s="1"/>
  <c r="F137" i="1" s="1"/>
  <c r="E121" i="1"/>
  <c r="D121" i="1"/>
  <c r="G120" i="1"/>
  <c r="G137" i="1" s="1"/>
  <c r="E120" i="1"/>
  <c r="E137" i="1" s="1"/>
  <c r="D120" i="1"/>
  <c r="I119" i="1"/>
  <c r="H119" i="1"/>
  <c r="G119" i="1"/>
  <c r="F119" i="1"/>
  <c r="I118" i="1"/>
  <c r="H118" i="1"/>
  <c r="G118" i="1"/>
  <c r="F118" i="1"/>
  <c r="I117" i="1"/>
  <c r="H117" i="1"/>
  <c r="G117" i="1"/>
  <c r="F117" i="1"/>
  <c r="I116" i="1"/>
  <c r="H116" i="1"/>
  <c r="G116" i="1"/>
  <c r="F116" i="1"/>
  <c r="I115" i="1"/>
  <c r="H115" i="1"/>
  <c r="G115" i="1"/>
  <c r="F115" i="1"/>
  <c r="E115" i="1"/>
  <c r="D115" i="1"/>
  <c r="C113" i="1"/>
  <c r="D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H83" i="1" s="1"/>
  <c r="H82" i="1" s="1"/>
  <c r="G86" i="1"/>
  <c r="F86" i="1"/>
  <c r="I85" i="1"/>
  <c r="H85" i="1"/>
  <c r="G85" i="1"/>
  <c r="F85" i="1"/>
  <c r="I84" i="1"/>
  <c r="H84" i="1"/>
  <c r="G84" i="1"/>
  <c r="F84" i="1"/>
  <c r="I83" i="1"/>
  <c r="G83" i="1"/>
  <c r="G82" i="1" s="1"/>
  <c r="G94" i="1" s="1"/>
  <c r="F83" i="1"/>
  <c r="F82" i="1" s="1"/>
  <c r="F94" i="1" s="1"/>
  <c r="E83" i="1"/>
  <c r="D83" i="1"/>
  <c r="I82" i="1"/>
  <c r="E82" i="1"/>
  <c r="E94" i="1" s="1"/>
  <c r="D82" i="1"/>
  <c r="I81" i="1"/>
  <c r="H81" i="1"/>
  <c r="G81" i="1"/>
  <c r="F81" i="1"/>
  <c r="I80" i="1"/>
  <c r="H80" i="1"/>
  <c r="H79" i="1" s="1"/>
  <c r="H94" i="1" s="1"/>
  <c r="G80" i="1"/>
  <c r="F80" i="1"/>
  <c r="I79" i="1"/>
  <c r="I94" i="1" s="1"/>
  <c r="G79" i="1"/>
  <c r="F79" i="1"/>
  <c r="E79" i="1"/>
  <c r="D79" i="1"/>
  <c r="C76" i="1"/>
  <c r="H72" i="1"/>
  <c r="F72" i="1"/>
  <c r="D72" i="1"/>
  <c r="H58" i="1"/>
  <c r="H57" i="1"/>
  <c r="I52" i="1"/>
  <c r="H52" i="1"/>
  <c r="G52" i="1"/>
  <c r="F52" i="1"/>
  <c r="E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H36" i="1"/>
  <c r="G36" i="1"/>
  <c r="F36" i="1"/>
  <c r="I35" i="1"/>
  <c r="I33" i="1" s="1"/>
  <c r="G35" i="1"/>
  <c r="H35" i="1" s="1"/>
  <c r="F35" i="1"/>
  <c r="F33" i="1" s="1"/>
  <c r="I34" i="1"/>
  <c r="H34" i="1"/>
  <c r="G34" i="1"/>
  <c r="F34" i="1"/>
  <c r="G33" i="1"/>
  <c r="H33" i="1" s="1"/>
  <c r="D33" i="1"/>
  <c r="I32" i="1"/>
  <c r="H32" i="1"/>
  <c r="G32" i="1"/>
  <c r="F32" i="1"/>
  <c r="I31" i="1"/>
  <c r="H31" i="1"/>
  <c r="G31" i="1"/>
  <c r="F31" i="1"/>
  <c r="I30" i="1"/>
  <c r="G30" i="1"/>
  <c r="G26" i="1" s="1"/>
  <c r="G25" i="1" s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E26" i="1"/>
  <c r="D26" i="1"/>
  <c r="E25" i="1"/>
  <c r="D25" i="1"/>
  <c r="D42" i="1" s="1"/>
  <c r="I24" i="1"/>
  <c r="H24" i="1"/>
  <c r="H22" i="1" s="1"/>
  <c r="G24" i="1"/>
  <c r="F24" i="1"/>
  <c r="I23" i="1"/>
  <c r="H23" i="1"/>
  <c r="G23" i="1"/>
  <c r="F23" i="1"/>
  <c r="I22" i="1"/>
  <c r="G22" i="1"/>
  <c r="F22" i="1"/>
  <c r="E22" i="1"/>
  <c r="D22" i="1"/>
  <c r="H16" i="1"/>
  <c r="F16" i="1"/>
  <c r="D16" i="1"/>
  <c r="I26" i="1" l="1"/>
  <c r="I25" i="1" s="1"/>
  <c r="I42" i="1" s="1"/>
  <c r="F26" i="1"/>
  <c r="F25" i="1" s="1"/>
  <c r="F42" i="1" s="1"/>
  <c r="H30" i="1"/>
  <c r="H26" i="1"/>
  <c r="H25" i="1" s="1"/>
  <c r="H42" i="1" s="1"/>
  <c r="G42" i="1"/>
  <c r="I137" i="1"/>
  <c r="H137" i="1"/>
  <c r="G163" i="1"/>
  <c r="G300" i="1"/>
</calcChain>
</file>

<file path=xl/sharedStrings.xml><?xml version="1.0" encoding="utf-8"?>
<sst xmlns="http://schemas.openxmlformats.org/spreadsheetml/2006/main" count="349" uniqueCount="151">
  <si>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</si>
  <si>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</si>
  <si>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</si>
  <si>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</si>
  <si>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</si>
  <si>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</si>
  <si>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</si>
  <si>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</si>
  <si>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</si>
  <si>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</si>
  <si>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</si>
  <si>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</si>
  <si>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</si>
  <si>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</si>
  <si>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</si>
  <si>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</si>
  <si>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</si>
  <si>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</si>
  <si>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</si>
  <si>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</si>
  <si>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</si>
  <si>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</si>
  <si>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</si>
  <si>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</si>
  <si>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</si>
  <si>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</si>
  <si>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</si>
  <si>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</si>
  <si>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</si>
  <si>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</si>
  <si>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</si>
  <si>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</si>
  <si>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</si>
  <si>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</si>
  <si>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</si>
  <si>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</si>
  <si>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</si>
  <si>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</si>
  <si>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</si>
  <si>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</si>
  <si>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</si>
  <si>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</si>
  <si>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</si>
  <si>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</si>
  <si>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</si>
  <si>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</si>
  <si>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</si>
  <si>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</si>
  <si>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</si>
  <si>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</si>
  <si>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</si>
  <si>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</si>
  <si>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</si>
  <si>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</si>
  <si>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</si>
  <si>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</si>
  <si>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</si>
  <si>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</si>
  <si>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</si>
  <si>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</si>
  <si>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</si>
  <si>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</si>
  <si>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</si>
  <si>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</si>
  <si>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</si>
  <si>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</si>
  <si>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</si>
  <si>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</si>
  <si>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</si>
  <si>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</si>
  <si>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</si>
  <si>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</si>
  <si>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</si>
  <si>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</si>
  <si>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</si>
  <si>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</si>
  <si>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</si>
  <si>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</si>
  <si>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</si>
  <si>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</si>
  <si>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</si>
  <si>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</si>
  <si>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</si>
  <si>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</si>
  <si>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</si>
  <si>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</si>
  <si>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</si>
  <si>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</si>
  <si>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</si>
  <si>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</si>
  <si>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</si>
  <si>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</si>
  <si>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</si>
  <si>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</si>
  <si>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</si>
  <si>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</si>
  <si>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</si>
  <si>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</si>
  <si>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</si>
  <si>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</si>
  <si>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</si>
  <si>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</si>
  <si>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</si>
  <si>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</si>
  <si>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</si>
  <si>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</si>
  <si>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</si>
  <si>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</si>
  <si>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</si>
  <si>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</si>
  <si>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</si>
  <si>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</si>
  <si>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</si>
  <si>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</si>
  <si>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</si>
  <si>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</si>
  <si>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</si>
  <si>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</si>
  <si>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</si>
  <si>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</si>
  <si>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</si>
  <si>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</si>
  <si>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</si>
  <si>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</si>
  <si>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</si>
  <si>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</si>
  <si>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</si>
  <si>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</si>
  <si>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</si>
  <si>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</si>
  <si>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</si>
  <si>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2024, disse vil være ferdigstilt ila februar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</si>
  <si>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</si>
  <si>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</si>
  <si>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</si>
  <si>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</si>
  <si>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</si>
  <si>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</si>
  <si>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</si>
  <si>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</si>
  <si>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</si>
  <si>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</si>
  <si>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</si>
  <si>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t>2 Registrert rekreasjonsfiske utgjør 12 tonn, men det legges til grunn at hele avsetningen tas</t>
  </si>
  <si>
    <t>4 Registrert rekreasjonsfiske utgjør 57 tonn, men det legges til grunn at hele avsetningen tas</t>
  </si>
  <si>
    <t>3 Registrert rekreasjonsfiske utgjør 143 tonn, men det legges til grunn at hele avsetningen tas</t>
  </si>
  <si>
    <t>FANGST UKE 10</t>
  </si>
  <si>
    <t>FANGST T.O.M UKE 10</t>
  </si>
  <si>
    <t>RESTKVOTER UKE 10</t>
  </si>
  <si>
    <t>FANGST T.O.M UKE 10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</si>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</sst>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8"/>
      <color theme="1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6" fillId="2" borderId="19" xfId="0" applyFont="1" applyFill="1" applyBorder="1" applyAlignment="1">
      <alignment horizontal="center"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491"/>
  <sheetViews>
    <sheetView showGridLines="0" tabSelected="1" showRuler="0" zoomScale="80" zoomScaleNormal="80" zoomScaleSheetLayoutView="100" zoomScalePageLayoutView="85" workbookViewId="0">
      <selection activeCell="G6" sqref="G6"/>
    </sheetView>
  </sheetViews>
  <sheetFormatPr defaultColWidth="10.6640625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294" t="s">
        <v>123</v>
      </c>
      <c r="C2" s="295"/>
      <c r="D2" s="295"/>
      <c r="E2" s="295"/>
      <c r="F2" s="295"/>
      <c r="G2" s="295"/>
      <c r="H2" s="295"/>
      <c r="I2" s="295"/>
      <c r="J2" s="296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20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297"/>
      <c r="C9" s="298"/>
      <c r="D9" s="298"/>
      <c r="E9" s="298"/>
      <c r="F9" s="298"/>
      <c r="G9" s="298"/>
      <c r="H9" s="298"/>
      <c r="I9" s="298"/>
      <c r="J9" s="299"/>
    </row>
    <row r="10" spans="1:10" ht="12" customHeight="1" x14ac:dyDescent="0.35">
      <c r="A10" s="1"/>
      <c r="B10" s="255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300" t="s">
        <v>1</v>
      </c>
      <c r="D11" s="301"/>
      <c r="E11" s="300" t="s">
        <v>2</v>
      </c>
      <c r="F11" s="301"/>
      <c r="G11" s="300" t="s">
        <v>3</v>
      </c>
      <c r="H11" s="301"/>
      <c r="I11" s="178"/>
      <c r="J11" s="245"/>
    </row>
    <row r="12" spans="1:10" ht="14.15" customHeight="1" x14ac:dyDescent="0.35">
      <c r="A12" s="1"/>
      <c r="B12" s="255"/>
      <c r="C12" s="99"/>
      <c r="D12" s="99"/>
      <c r="E12" s="99" t="s">
        <v>4</v>
      </c>
      <c r="F12" s="114">
        <v>38668</v>
      </c>
      <c r="G12" s="115" t="s">
        <v>5</v>
      </c>
      <c r="H12" s="114">
        <v>12624</v>
      </c>
      <c r="I12" s="178"/>
      <c r="J12" s="245"/>
    </row>
    <row r="13" spans="1:10" ht="15.75" customHeight="1" x14ac:dyDescent="0.35">
      <c r="A13" s="1"/>
      <c r="B13" s="255"/>
      <c r="C13" s="115" t="s">
        <v>6</v>
      </c>
      <c r="D13" s="117">
        <v>163436</v>
      </c>
      <c r="E13" s="115" t="s">
        <v>7</v>
      </c>
      <c r="F13" s="117">
        <v>109370</v>
      </c>
      <c r="G13" s="115" t="s">
        <v>8</v>
      </c>
      <c r="H13" s="117">
        <v>78055</v>
      </c>
      <c r="I13" s="178"/>
      <c r="J13" s="245"/>
    </row>
    <row r="14" spans="1:10" ht="14.25" customHeight="1" x14ac:dyDescent="0.35">
      <c r="A14" s="1"/>
      <c r="B14" s="255"/>
      <c r="C14" s="115" t="s">
        <v>9</v>
      </c>
      <c r="D14" s="117">
        <v>151436</v>
      </c>
      <c r="E14" s="115" t="s">
        <v>10</v>
      </c>
      <c r="F14" s="117">
        <v>15398</v>
      </c>
      <c r="G14" s="115" t="s">
        <v>11</v>
      </c>
      <c r="H14" s="117">
        <v>9859</v>
      </c>
      <c r="I14" s="178"/>
      <c r="J14" s="245"/>
    </row>
    <row r="15" spans="1:10" ht="15.75" customHeight="1" x14ac:dyDescent="0.35">
      <c r="A15" s="1"/>
      <c r="B15" s="255"/>
      <c r="C15" s="115" t="s">
        <v>73</v>
      </c>
      <c r="D15" s="117">
        <v>46128</v>
      </c>
      <c r="E15" s="147"/>
      <c r="F15" s="166"/>
      <c r="G15" s="165" t="s">
        <v>12</v>
      </c>
      <c r="H15" s="292">
        <v>8832</v>
      </c>
      <c r="I15" s="178"/>
      <c r="J15" s="245"/>
    </row>
    <row r="16" spans="1:10" ht="14.15" customHeight="1" x14ac:dyDescent="0.35">
      <c r="A16" s="1"/>
      <c r="B16" s="255"/>
      <c r="C16" s="177" t="s">
        <v>13</v>
      </c>
      <c r="D16" s="189">
        <f>SUM(D13:D15)</f>
        <v>361000</v>
      </c>
      <c r="E16" s="177" t="s">
        <v>14</v>
      </c>
      <c r="F16" s="189">
        <f>SUM(F12:F15)</f>
        <v>163436</v>
      </c>
      <c r="G16" s="177" t="s">
        <v>7</v>
      </c>
      <c r="H16" s="189">
        <f>SUM(H12:H15)</f>
        <v>109370</v>
      </c>
      <c r="J16" s="245"/>
    </row>
    <row r="17" spans="1:10" x14ac:dyDescent="0.35">
      <c r="A17" s="101"/>
      <c r="B17" s="24"/>
      <c r="C17" s="293"/>
      <c r="D17" s="293"/>
      <c r="E17" s="293"/>
      <c r="F17" s="293"/>
      <c r="G17" s="293"/>
      <c r="H17" s="293"/>
      <c r="I17" s="101"/>
      <c r="J17" s="157"/>
    </row>
    <row r="18" spans="1:10" ht="15" customHeight="1" x14ac:dyDescent="0.35">
      <c r="A18" s="1"/>
      <c r="B18" s="255"/>
      <c r="C18" s="259"/>
      <c r="D18" s="259"/>
      <c r="E18" s="276"/>
      <c r="F18" s="259"/>
      <c r="G18" s="259"/>
      <c r="H18" s="259"/>
      <c r="I18" s="259"/>
      <c r="J18" s="3"/>
    </row>
    <row r="19" spans="1:10" ht="15" customHeight="1" x14ac:dyDescent="0.35">
      <c r="A19" s="1"/>
      <c r="B19" s="255"/>
      <c r="C19" s="18" t="s">
        <v>15</v>
      </c>
      <c r="D19" s="259"/>
      <c r="E19" s="276"/>
      <c r="F19" s="259"/>
      <c r="G19" s="259"/>
      <c r="H19" s="202"/>
      <c r="I19" s="259"/>
      <c r="J19" s="3"/>
    </row>
    <row r="20" spans="1:10" ht="12" customHeight="1" x14ac:dyDescent="0.35">
      <c r="A20" s="1"/>
      <c r="B20" s="255"/>
      <c r="C20" s="31"/>
      <c r="D20" s="1"/>
      <c r="E20" s="1"/>
      <c r="F20" s="1"/>
      <c r="G20" s="1"/>
      <c r="H20" s="1"/>
      <c r="I20" s="1"/>
      <c r="J20" s="120"/>
    </row>
    <row r="21" spans="1:10" ht="61.5" customHeight="1" x14ac:dyDescent="0.35">
      <c r="A21" s="156"/>
      <c r="B21" s="52"/>
      <c r="C21" s="15" t="s">
        <v>16</v>
      </c>
      <c r="D21" s="113" t="s">
        <v>17</v>
      </c>
      <c r="E21" s="68" t="s">
        <v>18</v>
      </c>
      <c r="F21" s="68" t="s">
        <v>146</v>
      </c>
      <c r="G21" s="68" t="s">
        <v>147</v>
      </c>
      <c r="H21" s="68" t="s">
        <v>148</v>
      </c>
      <c r="I21" s="68" t="s">
        <v>149</v>
      </c>
      <c r="J21" s="281"/>
    </row>
    <row r="22" spans="1:10" ht="14.15" customHeight="1" x14ac:dyDescent="0.35">
      <c r="A22" s="1"/>
      <c r="B22" s="255"/>
      <c r="C22" s="16" t="s">
        <v>19</v>
      </c>
      <c r="D22" s="28">
        <f>D23+D24</f>
        <v>38668</v>
      </c>
      <c r="E22" s="28">
        <f>E23+E24</f>
        <v>41464</v>
      </c>
      <c r="F22" s="28">
        <f t="shared" ref="F22:I22" si="0">F24+F23</f>
        <v>263.20794000000001</v>
      </c>
      <c r="G22" s="28">
        <f t="shared" si="0"/>
        <v>7608.4694499999996</v>
      </c>
      <c r="H22" s="11">
        <f t="shared" si="0"/>
        <v>33855.530550000003</v>
      </c>
      <c r="I22" s="11">
        <f t="shared" si="0"/>
        <v>21227.197199999999</v>
      </c>
      <c r="J22" s="245"/>
    </row>
    <row r="23" spans="1:10" ht="14.15" customHeight="1" x14ac:dyDescent="0.35">
      <c r="A23" s="1"/>
      <c r="B23" s="255"/>
      <c r="C23" s="44" t="s">
        <v>20</v>
      </c>
      <c r="D23" s="45">
        <v>37918</v>
      </c>
      <c r="E23" s="45">
        <v>40701</v>
      </c>
      <c r="F23" s="23">
        <f>263.20794</f>
        <v>263.20794000000001</v>
      </c>
      <c r="G23" s="23">
        <f>7540.24645</f>
        <v>7540.2464499999996</v>
      </c>
      <c r="H23" s="23">
        <f>E23-G23</f>
        <v>33160.753550000001</v>
      </c>
      <c r="I23" s="23">
        <f>20955.87141</f>
        <v>20955.87141</v>
      </c>
      <c r="J23" s="245"/>
    </row>
    <row r="24" spans="1:10" ht="14.15" customHeight="1" x14ac:dyDescent="0.35">
      <c r="A24" s="1"/>
      <c r="B24" s="255"/>
      <c r="C24" s="48" t="s">
        <v>21</v>
      </c>
      <c r="D24" s="49">
        <v>750</v>
      </c>
      <c r="E24" s="49">
        <v>763</v>
      </c>
      <c r="F24" s="171">
        <f>0</f>
        <v>0</v>
      </c>
      <c r="G24" s="23">
        <f>68.223</f>
        <v>68.222999999999999</v>
      </c>
      <c r="H24" s="23">
        <f>E24-G24</f>
        <v>694.77700000000004</v>
      </c>
      <c r="I24" s="23">
        <f>271.32579</f>
        <v>271.32578999999998</v>
      </c>
      <c r="J24" s="245"/>
    </row>
    <row r="25" spans="1:10" ht="14.15" customHeight="1" x14ac:dyDescent="0.35">
      <c r="A25" s="1"/>
      <c r="B25" s="255"/>
      <c r="C25" s="16" t="s">
        <v>22</v>
      </c>
      <c r="D25" s="28">
        <f>D26+D32+D33</f>
        <v>112463</v>
      </c>
      <c r="E25" s="28">
        <f>E26+E32+E33</f>
        <v>121484</v>
      </c>
      <c r="F25" s="28">
        <f t="shared" ref="F25:I25" si="1">F33+F32+F26</f>
        <v>10490.24444</v>
      </c>
      <c r="G25" s="11">
        <f t="shared" si="1"/>
        <v>44509.607050000006</v>
      </c>
      <c r="H25" s="11">
        <f t="shared" si="1"/>
        <v>76974.392949999994</v>
      </c>
      <c r="I25" s="11">
        <f t="shared" si="1"/>
        <v>60163.826880000001</v>
      </c>
      <c r="J25" s="245"/>
    </row>
    <row r="26" spans="1:10" ht="15" customHeight="1" x14ac:dyDescent="0.35">
      <c r="A26" s="51"/>
      <c r="B26" s="53"/>
      <c r="C26" s="56" t="s">
        <v>23</v>
      </c>
      <c r="D26" s="58">
        <f>D27+D28+D29+D30+D31</f>
        <v>89020</v>
      </c>
      <c r="E26" s="58">
        <f>E27+E28+E29+E30+E31</f>
        <v>94777</v>
      </c>
      <c r="F26" s="132">
        <f>F27+F28+F29+F30+F31</f>
        <v>8611.5097800000003</v>
      </c>
      <c r="G26" s="132">
        <f>G27+G28+G29+G30+G31</f>
        <v>37675.168250000002</v>
      </c>
      <c r="H26" s="132">
        <f t="shared" ref="H26:I26" si="2">H27+H28+H29+H30+H31</f>
        <v>57101.831749999998</v>
      </c>
      <c r="I26" s="132">
        <f t="shared" si="2"/>
        <v>50812.906269999999</v>
      </c>
      <c r="J26" s="245"/>
    </row>
    <row r="27" spans="1:10" ht="14.15" customHeight="1" x14ac:dyDescent="0.35">
      <c r="A27" s="197"/>
      <c r="B27" s="182"/>
      <c r="C27" s="62" t="s">
        <v>24</v>
      </c>
      <c r="D27" s="63">
        <v>22666</v>
      </c>
      <c r="E27" s="63">
        <v>25121</v>
      </c>
      <c r="F27" s="214">
        <f>2812.13715 - F55</f>
        <v>2812.13715</v>
      </c>
      <c r="G27" s="127">
        <f>8908.1867 - G55</f>
        <v>8908.1867000000002</v>
      </c>
      <c r="H27" s="127">
        <f t="shared" ref="H27:H39" si="3">E27-G27</f>
        <v>16212.8133</v>
      </c>
      <c r="I27" s="127">
        <f>11500.08875 - I55</f>
        <v>11500.088750000001</v>
      </c>
      <c r="J27" s="65"/>
    </row>
    <row r="28" spans="1:10" ht="14.15" customHeight="1" x14ac:dyDescent="0.35">
      <c r="A28" s="197"/>
      <c r="B28" s="182"/>
      <c r="C28" s="62" t="s">
        <v>25</v>
      </c>
      <c r="D28" s="63">
        <v>22686</v>
      </c>
      <c r="E28" s="63">
        <v>23963</v>
      </c>
      <c r="F28" s="127">
        <f>1959.38207 - F56</f>
        <v>1959.3820700000001</v>
      </c>
      <c r="G28" s="127">
        <f>10580.62686 - G56</f>
        <v>10580.62686</v>
      </c>
      <c r="H28" s="127">
        <f t="shared" si="3"/>
        <v>13382.37314</v>
      </c>
      <c r="I28" s="127">
        <f>14934.12235 - I56</f>
        <v>14934.12235</v>
      </c>
      <c r="J28" s="65"/>
    </row>
    <row r="29" spans="1:10" ht="14.15" customHeight="1" x14ac:dyDescent="0.35">
      <c r="A29" s="197"/>
      <c r="B29" s="182"/>
      <c r="C29" s="62" t="s">
        <v>26</v>
      </c>
      <c r="D29" s="63">
        <v>20630</v>
      </c>
      <c r="E29" s="63">
        <v>21840</v>
      </c>
      <c r="F29" s="127">
        <f>2331.22259 - F57</f>
        <v>2331.2225899999999</v>
      </c>
      <c r="G29" s="127">
        <f>10336.17651 - G57</f>
        <v>10336.176509999999</v>
      </c>
      <c r="H29" s="127">
        <f t="shared" si="3"/>
        <v>11503.823490000001</v>
      </c>
      <c r="I29" s="127">
        <f>13421.67314 - I57</f>
        <v>13421.673140000001</v>
      </c>
      <c r="J29" s="65"/>
    </row>
    <row r="30" spans="1:10" ht="14.15" customHeight="1" x14ac:dyDescent="0.35">
      <c r="A30" s="197"/>
      <c r="B30" s="182"/>
      <c r="C30" s="62" t="s">
        <v>27</v>
      </c>
      <c r="D30" s="63">
        <v>15166</v>
      </c>
      <c r="E30" s="63">
        <v>15622</v>
      </c>
      <c r="F30" s="127">
        <f>1768.76797 - F58</f>
        <v>1508.7679700000001</v>
      </c>
      <c r="G30" s="127">
        <f>8200.17818 - G58</f>
        <v>7850.1781800000008</v>
      </c>
      <c r="H30" s="127">
        <f t="shared" si="3"/>
        <v>7771.8218199999992</v>
      </c>
      <c r="I30" s="127">
        <f>11382.02203 - I58</f>
        <v>10957.02203</v>
      </c>
      <c r="J30" s="65"/>
    </row>
    <row r="31" spans="1:10" ht="14.15" customHeight="1" x14ac:dyDescent="0.35">
      <c r="A31" s="197"/>
      <c r="B31" s="182"/>
      <c r="C31" s="62" t="s">
        <v>28</v>
      </c>
      <c r="D31" s="63">
        <v>7872</v>
      </c>
      <c r="E31" s="63">
        <v>8231</v>
      </c>
      <c r="F31" s="127">
        <f>F52</f>
        <v>0</v>
      </c>
      <c r="G31" s="127">
        <f>G52</f>
        <v>0</v>
      </c>
      <c r="H31" s="127">
        <f>E31-G31</f>
        <v>8231</v>
      </c>
      <c r="I31" s="127">
        <f>I52</f>
        <v>0</v>
      </c>
      <c r="J31" s="65"/>
    </row>
    <row r="32" spans="1:10" ht="14.15" customHeight="1" x14ac:dyDescent="0.35">
      <c r="A32" s="66"/>
      <c r="B32" s="53"/>
      <c r="C32" s="56" t="s">
        <v>29</v>
      </c>
      <c r="D32" s="58">
        <v>12624</v>
      </c>
      <c r="E32" s="58">
        <v>13611</v>
      </c>
      <c r="F32" s="132">
        <f>124.572</f>
        <v>124.572</v>
      </c>
      <c r="G32" s="132">
        <f>2842.10921</f>
        <v>2842.1092100000001</v>
      </c>
      <c r="H32" s="132">
        <f t="shared" si="3"/>
        <v>10768.890789999999</v>
      </c>
      <c r="I32" s="132">
        <f>4516.41348</f>
        <v>4516.4134800000002</v>
      </c>
      <c r="J32" s="65"/>
    </row>
    <row r="33" spans="1:10" ht="14.15" customHeight="1" x14ac:dyDescent="0.35">
      <c r="A33" s="66"/>
      <c r="B33" s="53"/>
      <c r="C33" s="56" t="s">
        <v>30</v>
      </c>
      <c r="D33" s="58">
        <f>D34+D35</f>
        <v>10819</v>
      </c>
      <c r="E33" s="58">
        <v>13096</v>
      </c>
      <c r="F33" s="132">
        <f>F34+F35</f>
        <v>1754.16266</v>
      </c>
      <c r="G33" s="132">
        <f>G34+G35</f>
        <v>3992.3295899999998</v>
      </c>
      <c r="H33" s="132">
        <f t="shared" si="3"/>
        <v>9103.6704100000006</v>
      </c>
      <c r="I33" s="132">
        <f>I34+I35</f>
        <v>4834.50713</v>
      </c>
      <c r="J33" s="65"/>
    </row>
    <row r="34" spans="1:10" ht="14.15" customHeight="1" x14ac:dyDescent="0.35">
      <c r="A34" s="197"/>
      <c r="B34" s="182"/>
      <c r="C34" s="62" t="s">
        <v>31</v>
      </c>
      <c r="D34" s="63">
        <v>9859</v>
      </c>
      <c r="E34" s="63">
        <v>12136</v>
      </c>
      <c r="F34" s="127">
        <f>1754.16266 - F59 - F60</f>
        <v>1754.16266</v>
      </c>
      <c r="G34" s="132">
        <f>3992.32959 - G59 - G60</f>
        <v>3992.3295899999998</v>
      </c>
      <c r="H34" s="127">
        <f t="shared" si="3"/>
        <v>8143.6704100000006</v>
      </c>
      <c r="I34" s="127">
        <f>4834.50713 - I59 - I60</f>
        <v>4834.50713</v>
      </c>
      <c r="J34" s="65"/>
    </row>
    <row r="35" spans="1:10" ht="14.15" customHeight="1" x14ac:dyDescent="0.35">
      <c r="A35" s="197"/>
      <c r="B35" s="182"/>
      <c r="C35" s="69" t="s">
        <v>32</v>
      </c>
      <c r="D35" s="70">
        <v>960</v>
      </c>
      <c r="E35" s="70">
        <v>960</v>
      </c>
      <c r="F35" s="71">
        <f>F57</f>
        <v>0</v>
      </c>
      <c r="G35" s="71">
        <f>G57</f>
        <v>0</v>
      </c>
      <c r="H35" s="71">
        <f t="shared" si="3"/>
        <v>960</v>
      </c>
      <c r="I35" s="71">
        <f>I57</f>
        <v>0</v>
      </c>
      <c r="J35" s="65"/>
    </row>
    <row r="36" spans="1:10" ht="15.75" customHeight="1" x14ac:dyDescent="0.35">
      <c r="A36" s="1"/>
      <c r="B36" s="255"/>
      <c r="C36" s="73" t="s">
        <v>33</v>
      </c>
      <c r="D36" s="143">
        <v>1000</v>
      </c>
      <c r="E36" s="143">
        <v>1000</v>
      </c>
      <c r="F36" s="139">
        <f>14.784</f>
        <v>14.784000000000001</v>
      </c>
      <c r="G36" s="139">
        <f>22.99</f>
        <v>22.99</v>
      </c>
      <c r="H36" s="139">
        <f t="shared" si="3"/>
        <v>977.01</v>
      </c>
      <c r="I36" s="139">
        <f>36.9064</f>
        <v>36.906399999999998</v>
      </c>
      <c r="J36" s="245"/>
    </row>
    <row r="37" spans="1:10" ht="14.15" customHeight="1" x14ac:dyDescent="0.35">
      <c r="A37" s="1"/>
      <c r="B37" s="255"/>
      <c r="C37" s="73" t="s">
        <v>34</v>
      </c>
      <c r="D37" s="143">
        <v>855</v>
      </c>
      <c r="E37" s="143">
        <v>855</v>
      </c>
      <c r="F37" s="98">
        <f>30.3195</f>
        <v>30.319500000000001</v>
      </c>
      <c r="G37" s="98">
        <f>116.49879</f>
        <v>116.49879</v>
      </c>
      <c r="H37" s="98">
        <f t="shared" si="3"/>
        <v>738.50121000000001</v>
      </c>
      <c r="I37" s="98">
        <f>188.71504</f>
        <v>188.71503999999999</v>
      </c>
      <c r="J37" s="245"/>
    </row>
    <row r="38" spans="1:10" ht="17.25" customHeight="1" x14ac:dyDescent="0.35">
      <c r="A38" s="1"/>
      <c r="B38" s="255"/>
      <c r="C38" s="73" t="s">
        <v>35</v>
      </c>
      <c r="D38" s="143">
        <v>3000</v>
      </c>
      <c r="E38" s="143">
        <v>3000</v>
      </c>
      <c r="F38" s="98">
        <f>F58</f>
        <v>260</v>
      </c>
      <c r="G38" s="98">
        <f>G58</f>
        <v>350</v>
      </c>
      <c r="H38" s="98">
        <f t="shared" si="3"/>
        <v>2650</v>
      </c>
      <c r="I38" s="98">
        <f>I58</f>
        <v>425</v>
      </c>
      <c r="J38" s="245"/>
    </row>
    <row r="39" spans="1:10" ht="17.25" customHeight="1" x14ac:dyDescent="0.35">
      <c r="A39" s="1"/>
      <c r="B39" s="255"/>
      <c r="C39" s="73" t="s">
        <v>36</v>
      </c>
      <c r="D39" s="143">
        <v>7000</v>
      </c>
      <c r="E39" s="143">
        <v>7000</v>
      </c>
      <c r="F39" s="98">
        <f>27.53231</f>
        <v>27.532309999999999</v>
      </c>
      <c r="G39" s="98">
        <f>E39</f>
        <v>7000</v>
      </c>
      <c r="H39" s="98">
        <f t="shared" si="3"/>
        <v>0</v>
      </c>
      <c r="I39" s="98">
        <f>E39</f>
        <v>7000</v>
      </c>
      <c r="J39" s="245"/>
    </row>
    <row r="40" spans="1:10" ht="17.25" customHeight="1" x14ac:dyDescent="0.35">
      <c r="A40" s="1"/>
      <c r="B40" s="255"/>
      <c r="C40" s="73" t="s">
        <v>38</v>
      </c>
      <c r="D40" s="143">
        <v>450</v>
      </c>
      <c r="E40" s="143">
        <v>450</v>
      </c>
      <c r="F40" s="98">
        <f>18.58085</f>
        <v>18.580850000000002</v>
      </c>
      <c r="G40" s="98">
        <f>59.43287</f>
        <v>59.432870000000001</v>
      </c>
      <c r="H40" s="98">
        <f>E40-G40</f>
        <v>390.56713000000002</v>
      </c>
      <c r="I40" s="98">
        <f>33.4685</f>
        <v>33.468499999999999</v>
      </c>
      <c r="J40" s="245"/>
    </row>
    <row r="41" spans="1:10" ht="14.15" customHeight="1" x14ac:dyDescent="0.35">
      <c r="A41" s="1"/>
      <c r="B41" s="255"/>
      <c r="C41" s="73" t="s">
        <v>39</v>
      </c>
      <c r="D41" s="143"/>
      <c r="E41" s="139"/>
      <c r="F41" s="139">
        <f>0</f>
        <v>0</v>
      </c>
      <c r="G41" s="139">
        <f>24.61945</f>
        <v>24.619450000000001</v>
      </c>
      <c r="H41" s="139">
        <f t="shared" ref="H41" si="4">E41-G41</f>
        <v>-24.619450000000001</v>
      </c>
      <c r="I41" s="139">
        <f>35.7755</f>
        <v>35.775500000000001</v>
      </c>
      <c r="J41" s="245"/>
    </row>
    <row r="42" spans="1:10" ht="16.5" customHeight="1" x14ac:dyDescent="0.35">
      <c r="A42" s="1"/>
      <c r="B42" s="255"/>
      <c r="C42" s="74" t="s">
        <v>40</v>
      </c>
      <c r="D42" s="76">
        <f>D22+D25+D36+D37+D38+D39+D40+D41</f>
        <v>163436</v>
      </c>
      <c r="E42" s="76">
        <f>E22+E25+E36+E37+E38+E39+E40+E41</f>
        <v>175253</v>
      </c>
      <c r="F42" s="76">
        <f t="shared" ref="F42:I42" si="5">F22+F25+F36+F37+F38+F39+F40+F41</f>
        <v>11104.669040000001</v>
      </c>
      <c r="G42" s="76">
        <f t="shared" si="5"/>
        <v>59691.617609999994</v>
      </c>
      <c r="H42" s="76">
        <f t="shared" si="5"/>
        <v>115561.38239</v>
      </c>
      <c r="I42" s="76">
        <f t="shared" si="5"/>
        <v>89110.889520000012</v>
      </c>
      <c r="J42" s="245"/>
    </row>
    <row r="43" spans="1:10" ht="14.15" customHeight="1" x14ac:dyDescent="0.35">
      <c r="A43" s="101"/>
      <c r="B43" s="24"/>
      <c r="C43" s="77" t="s">
        <v>124</v>
      </c>
      <c r="D43" s="259"/>
      <c r="E43" s="259"/>
      <c r="F43" s="80"/>
      <c r="G43" s="80"/>
      <c r="H43" s="229"/>
      <c r="I43" s="229"/>
      <c r="J43" s="81"/>
    </row>
    <row r="44" spans="1:10" ht="14.15" customHeight="1" x14ac:dyDescent="0.35">
      <c r="A44" s="101"/>
      <c r="B44" s="24"/>
      <c r="C44" s="82" t="s">
        <v>41</v>
      </c>
      <c r="D44" s="259"/>
      <c r="E44" s="259"/>
      <c r="F44" s="259"/>
      <c r="G44" s="80"/>
      <c r="H44" s="178"/>
      <c r="I44" s="178"/>
      <c r="J44" s="245"/>
    </row>
    <row r="45" spans="1:10" ht="14.15" customHeight="1" x14ac:dyDescent="0.35">
      <c r="A45" s="101"/>
      <c r="B45" s="24"/>
      <c r="C45" s="161" t="s">
        <v>145</v>
      </c>
      <c r="D45" s="259"/>
      <c r="E45" s="259"/>
      <c r="F45" s="259"/>
      <c r="G45" s="80"/>
      <c r="H45" s="178"/>
      <c r="I45" s="178"/>
      <c r="J45" s="120"/>
    </row>
    <row r="46" spans="1:10" ht="14.15" customHeight="1" x14ac:dyDescent="0.35">
      <c r="A46" s="101"/>
      <c r="B46" s="24"/>
      <c r="C46" s="161" t="s">
        <v>140</v>
      </c>
      <c r="D46" s="259"/>
      <c r="E46" s="259"/>
      <c r="F46" s="259"/>
      <c r="G46" s="259"/>
      <c r="H46" s="178"/>
      <c r="I46" s="178"/>
      <c r="J46" s="120"/>
    </row>
    <row r="47" spans="1:10" ht="14.15" customHeight="1" x14ac:dyDescent="0.35">
      <c r="A47" s="101"/>
      <c r="B47" s="24"/>
      <c r="C47" s="101" t="s">
        <v>42</v>
      </c>
      <c r="D47" s="259"/>
      <c r="E47" s="259"/>
      <c r="F47" s="259"/>
      <c r="G47" s="259"/>
      <c r="H47" s="178"/>
      <c r="I47" s="178"/>
      <c r="J47" s="120"/>
    </row>
    <row r="48" spans="1:10" ht="20.25" customHeight="1" x14ac:dyDescent="0.35">
      <c r="A48" s="101"/>
      <c r="B48" s="242"/>
      <c r="C48" s="273"/>
      <c r="D48" s="273"/>
      <c r="E48" s="109"/>
      <c r="F48" s="273"/>
      <c r="G48" s="273"/>
      <c r="H48" s="273"/>
      <c r="I48" s="273"/>
      <c r="J48" s="184"/>
    </row>
    <row r="49" spans="1:10" ht="33" customHeight="1" x14ac:dyDescent="0.35">
      <c r="A49" s="101"/>
      <c r="B49" s="24"/>
      <c r="C49" s="304" t="s">
        <v>43</v>
      </c>
      <c r="D49" s="304"/>
      <c r="E49" s="304"/>
      <c r="F49" s="304"/>
      <c r="G49" s="304"/>
      <c r="H49" s="304"/>
      <c r="I49" s="83"/>
      <c r="J49" s="84"/>
    </row>
    <row r="50" spans="1:10" ht="16.5" customHeight="1" x14ac:dyDescent="0.35">
      <c r="A50" s="101"/>
      <c r="B50" s="24"/>
      <c r="C50" s="161"/>
      <c r="D50" s="259"/>
      <c r="E50" s="259"/>
      <c r="F50" s="259"/>
      <c r="G50" s="259"/>
      <c r="H50" s="178"/>
      <c r="I50" s="178"/>
      <c r="J50" s="120"/>
    </row>
    <row r="51" spans="1:10" ht="61.5" customHeight="1" x14ac:dyDescent="0.35">
      <c r="A51" s="101"/>
      <c r="B51" s="24"/>
      <c r="C51" s="86" t="s">
        <v>16</v>
      </c>
      <c r="D51" s="68" t="s">
        <v>44</v>
      </c>
      <c r="E51" s="68" t="s">
        <v>121</v>
      </c>
      <c r="F51" s="68" t="s">
        <v>146</v>
      </c>
      <c r="G51" s="68" t="s">
        <v>147</v>
      </c>
      <c r="H51" s="68" t="s">
        <v>148</v>
      </c>
      <c r="I51" s="68" t="s">
        <v>149</v>
      </c>
      <c r="J51" s="245"/>
    </row>
    <row r="52" spans="1:10" ht="14.15" customHeight="1" x14ac:dyDescent="0.35">
      <c r="A52" s="101"/>
      <c r="B52" s="24"/>
      <c r="C52" s="16" t="s">
        <v>45</v>
      </c>
      <c r="D52" s="305">
        <v>7872</v>
      </c>
      <c r="E52" s="305">
        <v>8231</v>
      </c>
      <c r="F52" s="11">
        <f>F56+F55+F54+F53</f>
        <v>0</v>
      </c>
      <c r="G52" s="11">
        <f>G56+G55+G54+G53</f>
        <v>0</v>
      </c>
      <c r="H52" s="305">
        <f>E52-G52</f>
        <v>8231</v>
      </c>
      <c r="I52" s="11">
        <f>I56+I55+I54+I53</f>
        <v>0</v>
      </c>
      <c r="J52" s="120"/>
    </row>
    <row r="53" spans="1:10" ht="14.15" customHeight="1" x14ac:dyDescent="0.35">
      <c r="A53" s="101"/>
      <c r="B53" s="24"/>
      <c r="C53" s="62" t="s">
        <v>24</v>
      </c>
      <c r="D53" s="306"/>
      <c r="E53" s="306"/>
      <c r="F53" s="127"/>
      <c r="G53" s="127"/>
      <c r="H53" s="306"/>
      <c r="I53" s="127"/>
      <c r="J53" s="120"/>
    </row>
    <row r="54" spans="1:10" ht="14.15" customHeight="1" x14ac:dyDescent="0.35">
      <c r="A54" s="101"/>
      <c r="B54" s="24"/>
      <c r="C54" s="62" t="s">
        <v>25</v>
      </c>
      <c r="D54" s="306"/>
      <c r="E54" s="306"/>
      <c r="F54" s="127"/>
      <c r="G54" s="127"/>
      <c r="H54" s="306"/>
      <c r="I54" s="127"/>
      <c r="J54" s="245"/>
    </row>
    <row r="55" spans="1:10" ht="14.15" customHeight="1" x14ac:dyDescent="0.35">
      <c r="A55" s="101"/>
      <c r="B55" s="24"/>
      <c r="C55" s="62" t="s">
        <v>26</v>
      </c>
      <c r="D55" s="306"/>
      <c r="E55" s="306"/>
      <c r="F55" s="127"/>
      <c r="G55" s="127"/>
      <c r="H55" s="306"/>
      <c r="I55" s="127"/>
      <c r="J55" s="120"/>
    </row>
    <row r="56" spans="1:10" ht="14.15" customHeight="1" x14ac:dyDescent="0.35">
      <c r="A56" s="101"/>
      <c r="B56" s="24"/>
      <c r="C56" s="87" t="s">
        <v>27</v>
      </c>
      <c r="D56" s="307"/>
      <c r="E56" s="307"/>
      <c r="F56" s="192"/>
      <c r="G56" s="192"/>
      <c r="H56" s="307"/>
      <c r="I56" s="192"/>
      <c r="J56" s="120"/>
    </row>
    <row r="57" spans="1:10" ht="14.15" customHeight="1" x14ac:dyDescent="0.35">
      <c r="A57" s="101"/>
      <c r="B57" s="24"/>
      <c r="C57" s="88" t="s">
        <v>46</v>
      </c>
      <c r="D57" s="95">
        <v>960</v>
      </c>
      <c r="E57" s="95">
        <v>960</v>
      </c>
      <c r="F57" s="95">
        <v>0</v>
      </c>
      <c r="G57" s="95">
        <v>0</v>
      </c>
      <c r="H57" s="95">
        <f>E57-G57</f>
        <v>960</v>
      </c>
      <c r="I57" s="95">
        <v>0</v>
      </c>
      <c r="J57" s="245"/>
    </row>
    <row r="58" spans="1:10" ht="14.15" customHeight="1" x14ac:dyDescent="0.35">
      <c r="A58" s="101"/>
      <c r="B58" s="24"/>
      <c r="C58" s="142" t="s">
        <v>47</v>
      </c>
      <c r="D58" s="139">
        <v>3000</v>
      </c>
      <c r="E58" s="139">
        <v>3000</v>
      </c>
      <c r="F58" s="139">
        <v>260</v>
      </c>
      <c r="G58" s="139">
        <v>350</v>
      </c>
      <c r="H58" s="139">
        <f>E58-G58</f>
        <v>2650</v>
      </c>
      <c r="I58" s="139">
        <v>425</v>
      </c>
      <c r="J58" s="120"/>
    </row>
    <row r="59" spans="1:10" ht="14.15" customHeight="1" x14ac:dyDescent="0.35">
      <c r="A59" s="101"/>
      <c r="B59" s="24"/>
      <c r="C59" s="77" t="s">
        <v>125</v>
      </c>
      <c r="D59" s="259"/>
      <c r="E59" s="259"/>
      <c r="F59" s="259"/>
      <c r="G59" s="259"/>
      <c r="H59" s="178"/>
      <c r="I59" s="178"/>
      <c r="J59" s="120"/>
    </row>
    <row r="60" spans="1:10" ht="14.15" customHeight="1" x14ac:dyDescent="0.35">
      <c r="A60" s="101"/>
      <c r="B60" s="24"/>
      <c r="C60" s="161"/>
      <c r="D60" s="259"/>
      <c r="E60" s="259"/>
      <c r="F60" s="259"/>
      <c r="G60" s="259"/>
      <c r="H60" s="178"/>
      <c r="I60" s="178"/>
      <c r="J60" s="120"/>
    </row>
    <row r="61" spans="1:10" ht="15" customHeight="1" x14ac:dyDescent="0.35">
      <c r="A61" s="101"/>
      <c r="B61" s="24"/>
      <c r="C61" s="161"/>
      <c r="D61" s="259"/>
      <c r="E61" s="259"/>
      <c r="F61" s="259"/>
      <c r="G61" s="259"/>
      <c r="H61" s="178"/>
      <c r="I61" s="178"/>
      <c r="J61" s="120"/>
    </row>
    <row r="62" spans="1:10" ht="12" customHeight="1" x14ac:dyDescent="0.35">
      <c r="A62" s="101"/>
      <c r="B62" s="92"/>
      <c r="C62" s="201"/>
      <c r="D62" s="59"/>
      <c r="E62" s="59"/>
      <c r="F62" s="59"/>
      <c r="G62" s="59"/>
      <c r="H62" s="106"/>
      <c r="I62" s="106"/>
      <c r="J62" s="118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289"/>
      <c r="D64" s="119"/>
      <c r="E64" s="119"/>
      <c r="F64" s="119"/>
      <c r="G64" s="119"/>
      <c r="H64" s="1"/>
      <c r="I64" s="1"/>
      <c r="J64" s="1"/>
    </row>
    <row r="65" spans="1:10" ht="17.149999999999999" customHeight="1" x14ac:dyDescent="0.35">
      <c r="B65" s="2"/>
      <c r="C65" s="220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20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8"/>
      <c r="C67" s="154"/>
      <c r="D67" s="154"/>
      <c r="E67" s="154"/>
      <c r="F67" s="154"/>
      <c r="G67" s="154"/>
      <c r="H67" s="154"/>
      <c r="I67" s="154"/>
      <c r="J67" s="162"/>
    </row>
    <row r="68" spans="1:10" ht="16.5" customHeight="1" x14ac:dyDescent="0.35">
      <c r="B68" s="52"/>
      <c r="C68" s="300" t="s">
        <v>1</v>
      </c>
      <c r="D68" s="301"/>
      <c r="E68" s="300" t="s">
        <v>2</v>
      </c>
      <c r="F68" s="308"/>
      <c r="G68" s="300" t="s">
        <v>3</v>
      </c>
      <c r="H68" s="301"/>
      <c r="I68" s="178"/>
      <c r="J68" s="245"/>
    </row>
    <row r="69" spans="1:10" ht="15" customHeight="1" x14ac:dyDescent="0.35">
      <c r="B69" s="255"/>
      <c r="C69" s="115" t="s">
        <v>6</v>
      </c>
      <c r="D69" s="117">
        <v>65468</v>
      </c>
      <c r="E69" s="260" t="s">
        <v>4</v>
      </c>
      <c r="F69" s="114">
        <v>24193</v>
      </c>
      <c r="G69" s="191" t="s">
        <v>5</v>
      </c>
      <c r="H69" s="114">
        <v>7105</v>
      </c>
      <c r="I69" s="178"/>
      <c r="J69" s="245"/>
    </row>
    <row r="70" spans="1:10" ht="15" customHeight="1" x14ac:dyDescent="0.35">
      <c r="B70" s="255"/>
      <c r="C70" s="115" t="s">
        <v>9</v>
      </c>
      <c r="D70" s="117">
        <v>56468</v>
      </c>
      <c r="E70" s="249" t="s">
        <v>7</v>
      </c>
      <c r="F70" s="117">
        <v>39474</v>
      </c>
      <c r="G70" s="191" t="s">
        <v>8</v>
      </c>
      <c r="H70" s="117">
        <v>29211</v>
      </c>
      <c r="I70" s="178"/>
      <c r="J70" s="245"/>
    </row>
    <row r="71" spans="1:10" ht="14.15" customHeight="1" x14ac:dyDescent="0.35">
      <c r="B71" s="255"/>
      <c r="C71" s="115" t="s">
        <v>73</v>
      </c>
      <c r="D71" s="117">
        <v>8064</v>
      </c>
      <c r="E71" s="115" t="s">
        <v>10</v>
      </c>
      <c r="F71" s="117">
        <v>1801</v>
      </c>
      <c r="G71" s="191" t="s">
        <v>11</v>
      </c>
      <c r="H71" s="117">
        <v>3158</v>
      </c>
      <c r="I71" s="178"/>
      <c r="J71" s="245"/>
    </row>
    <row r="72" spans="1:10" ht="12" customHeight="1" x14ac:dyDescent="0.35">
      <c r="B72" s="255"/>
      <c r="C72" s="177" t="s">
        <v>49</v>
      </c>
      <c r="D72" s="189">
        <f>SUM(D69:D71)</f>
        <v>130000</v>
      </c>
      <c r="E72" s="177" t="s">
        <v>14</v>
      </c>
      <c r="F72" s="189">
        <f>SUM(F69:F71)</f>
        <v>65468</v>
      </c>
      <c r="G72" s="177" t="s">
        <v>7</v>
      </c>
      <c r="H72" s="189">
        <f>SUM(H69:H71)</f>
        <v>39474</v>
      </c>
      <c r="I72" s="178"/>
      <c r="J72" s="245"/>
    </row>
    <row r="73" spans="1:10" ht="14.25" customHeight="1" x14ac:dyDescent="0.35">
      <c r="A73" s="1"/>
      <c r="B73" s="255"/>
      <c r="C73" s="101"/>
      <c r="D73" s="221"/>
      <c r="E73" s="221"/>
      <c r="F73" s="221"/>
      <c r="G73" s="221"/>
      <c r="H73" s="221"/>
      <c r="I73" s="237"/>
      <c r="J73" s="120"/>
    </row>
    <row r="74" spans="1:10" ht="6" customHeight="1" x14ac:dyDescent="0.35">
      <c r="A74" s="1"/>
      <c r="B74" s="255"/>
      <c r="C74" s="96"/>
      <c r="D74" s="96"/>
      <c r="E74" s="96"/>
      <c r="F74" s="96"/>
      <c r="G74" s="96"/>
      <c r="H74" s="96"/>
      <c r="I74" s="237"/>
      <c r="J74" s="120"/>
    </row>
    <row r="75" spans="1:10" ht="14.15" customHeight="1" x14ac:dyDescent="0.35">
      <c r="A75" s="1"/>
      <c r="B75" s="135"/>
      <c r="C75" s="273"/>
      <c r="D75" s="109"/>
      <c r="E75" s="273"/>
      <c r="F75" s="273"/>
      <c r="G75" s="273"/>
      <c r="H75" s="273"/>
      <c r="I75" s="262"/>
      <c r="J75" s="184"/>
    </row>
    <row r="76" spans="1:10" ht="20.25" customHeight="1" x14ac:dyDescent="0.35">
      <c r="A76" s="1"/>
      <c r="B76" s="255"/>
      <c r="C76" s="18" t="str">
        <f>C19</f>
        <v>KVOTE- OG FANGSTOVERSIKT</v>
      </c>
      <c r="D76" s="96"/>
      <c r="E76" s="96"/>
      <c r="F76" s="96"/>
      <c r="G76" s="96"/>
      <c r="H76" s="96"/>
      <c r="I76" s="1"/>
      <c r="J76" s="120"/>
    </row>
    <row r="77" spans="1:10" ht="11.25" customHeight="1" x14ac:dyDescent="0.4">
      <c r="A77" s="1"/>
      <c r="B77" s="255"/>
      <c r="C77" s="291"/>
      <c r="D77" s="291"/>
      <c r="E77" s="291"/>
      <c r="F77" s="291"/>
      <c r="G77" s="291"/>
      <c r="H77" s="291"/>
      <c r="I77" s="291"/>
      <c r="J77" s="19"/>
    </row>
    <row r="78" spans="1:10" ht="54" customHeight="1" x14ac:dyDescent="0.35">
      <c r="A78" s="1"/>
      <c r="B78" s="255"/>
      <c r="C78" s="15" t="s">
        <v>16</v>
      </c>
      <c r="D78" s="113" t="s">
        <v>17</v>
      </c>
      <c r="E78" s="15" t="s">
        <v>50</v>
      </c>
      <c r="F78" s="15" t="s">
        <v>146</v>
      </c>
      <c r="G78" s="15" t="s">
        <v>147</v>
      </c>
      <c r="H78" s="15" t="s">
        <v>148</v>
      </c>
      <c r="I78" s="15" t="s">
        <v>149</v>
      </c>
      <c r="J78" s="120"/>
    </row>
    <row r="79" spans="1:10" ht="14.15" customHeight="1" x14ac:dyDescent="0.35">
      <c r="A79" s="1"/>
      <c r="B79" s="255"/>
      <c r="C79" s="32" t="s">
        <v>19</v>
      </c>
      <c r="D79" s="28">
        <f>D80+D81</f>
        <v>24193</v>
      </c>
      <c r="E79" s="28">
        <f>E81+E80</f>
        <v>25368</v>
      </c>
      <c r="F79" s="11">
        <f t="shared" ref="F79:I79" si="6">F81+F80</f>
        <v>676.92091000000005</v>
      </c>
      <c r="G79" s="11">
        <f t="shared" si="6"/>
        <v>2683.1411699999999</v>
      </c>
      <c r="H79" s="11">
        <f t="shared" si="6"/>
        <v>22684.858829999997</v>
      </c>
      <c r="I79" s="11">
        <f t="shared" si="6"/>
        <v>11418.809509999999</v>
      </c>
      <c r="J79" s="245"/>
    </row>
    <row r="80" spans="1:10" ht="15" customHeight="1" x14ac:dyDescent="0.35">
      <c r="A80" s="1"/>
      <c r="B80" s="255"/>
      <c r="C80" s="44" t="s">
        <v>20</v>
      </c>
      <c r="D80" s="45">
        <v>23443</v>
      </c>
      <c r="E80" s="45">
        <v>24543</v>
      </c>
      <c r="F80" s="23">
        <f>676.92091</f>
        <v>676.92091000000005</v>
      </c>
      <c r="G80" s="23">
        <f>2668.57557</f>
        <v>2668.57557</v>
      </c>
      <c r="H80" s="23">
        <f>E80-G80</f>
        <v>21874.424429999999</v>
      </c>
      <c r="I80" s="23">
        <f>11196.36351</f>
        <v>11196.363509999999</v>
      </c>
      <c r="J80" s="245"/>
    </row>
    <row r="81" spans="1:10" ht="14.15" customHeight="1" x14ac:dyDescent="0.35">
      <c r="A81" s="1"/>
      <c r="B81" s="255"/>
      <c r="C81" s="64" t="s">
        <v>21</v>
      </c>
      <c r="D81" s="49">
        <v>750</v>
      </c>
      <c r="E81" s="49">
        <v>825</v>
      </c>
      <c r="F81" s="50">
        <f>0</f>
        <v>0</v>
      </c>
      <c r="G81" s="50">
        <f>14.5656</f>
        <v>14.5656</v>
      </c>
      <c r="H81" s="50">
        <f>E81-G81</f>
        <v>810.43439999999998</v>
      </c>
      <c r="I81" s="50">
        <f>222.446</f>
        <v>222.446</v>
      </c>
      <c r="J81" s="245"/>
    </row>
    <row r="82" spans="1:10" ht="15.75" customHeight="1" x14ac:dyDescent="0.35">
      <c r="A82" s="1"/>
      <c r="B82" s="52"/>
      <c r="C82" s="16" t="s">
        <v>22</v>
      </c>
      <c r="D82" s="28">
        <f>D83+D88+D89</f>
        <v>40606</v>
      </c>
      <c r="E82" s="28">
        <f>E83+E88+E89</f>
        <v>43673</v>
      </c>
      <c r="F82" s="11">
        <f t="shared" ref="F82:I82" si="7">F83+F88+F89</f>
        <v>1528.5133699999999</v>
      </c>
      <c r="G82" s="11">
        <f t="shared" si="7"/>
        <v>7992.2780600000006</v>
      </c>
      <c r="H82" s="11">
        <f t="shared" si="7"/>
        <v>35680.721939999996</v>
      </c>
      <c r="I82" s="11">
        <f t="shared" si="7"/>
        <v>11736.87407</v>
      </c>
      <c r="J82" s="245"/>
    </row>
    <row r="83" spans="1:10" ht="14.15" customHeight="1" x14ac:dyDescent="0.35">
      <c r="A83" s="1"/>
      <c r="B83" s="53"/>
      <c r="C83" s="56" t="s">
        <v>23</v>
      </c>
      <c r="D83" s="58">
        <f>D84+D85+D86+D87</f>
        <v>30343</v>
      </c>
      <c r="E83" s="58">
        <f>E87+E86+E85+E84</f>
        <v>32277</v>
      </c>
      <c r="F83" s="132">
        <f t="shared" ref="F83:I83" si="8">F84+F85+F86+F87</f>
        <v>1474.9176299999999</v>
      </c>
      <c r="G83" s="132">
        <f t="shared" si="8"/>
        <v>6413.6776200000004</v>
      </c>
      <c r="H83" s="132">
        <f t="shared" si="8"/>
        <v>25863.322379999998</v>
      </c>
      <c r="I83" s="132">
        <f t="shared" si="8"/>
        <v>7417.5192399999996</v>
      </c>
      <c r="J83" s="245"/>
    </row>
    <row r="84" spans="1:10" ht="14.15" customHeight="1" x14ac:dyDescent="0.35">
      <c r="A84" s="197"/>
      <c r="B84" s="182"/>
      <c r="C84" s="62" t="s">
        <v>24</v>
      </c>
      <c r="D84" s="63">
        <v>8110</v>
      </c>
      <c r="E84" s="63">
        <v>9004</v>
      </c>
      <c r="F84" s="127">
        <f>206.30319</f>
        <v>206.30319</v>
      </c>
      <c r="G84" s="127">
        <f>1743.3226</f>
        <v>1743.3226</v>
      </c>
      <c r="H84" s="127">
        <f t="shared" ref="H84:H91" si="9">E84-G84</f>
        <v>7260.6774000000005</v>
      </c>
      <c r="I84" s="127">
        <f>2293.87398</f>
        <v>2293.8739799999998</v>
      </c>
      <c r="J84" s="245"/>
    </row>
    <row r="85" spans="1:10" ht="14.15" customHeight="1" x14ac:dyDescent="0.35">
      <c r="A85" s="197"/>
      <c r="B85" s="182"/>
      <c r="C85" s="62" t="s">
        <v>51</v>
      </c>
      <c r="D85" s="63">
        <v>8591</v>
      </c>
      <c r="E85" s="63">
        <v>8992</v>
      </c>
      <c r="F85" s="127">
        <f>245.91051</f>
        <v>245.91050999999999</v>
      </c>
      <c r="G85" s="127">
        <f>1633.60345</f>
        <v>1633.6034500000001</v>
      </c>
      <c r="H85" s="127">
        <f t="shared" si="9"/>
        <v>7358.3965499999995</v>
      </c>
      <c r="I85" s="127">
        <f>2823.26338</f>
        <v>2823.2633799999999</v>
      </c>
      <c r="J85" s="245"/>
    </row>
    <row r="86" spans="1:10" ht="14.15" customHeight="1" x14ac:dyDescent="0.35">
      <c r="A86" s="197"/>
      <c r="B86" s="182"/>
      <c r="C86" s="62" t="s">
        <v>52</v>
      </c>
      <c r="D86" s="63">
        <v>8179</v>
      </c>
      <c r="E86" s="63">
        <v>8562</v>
      </c>
      <c r="F86" s="127">
        <f>584.47827</f>
        <v>584.47826999999995</v>
      </c>
      <c r="G86" s="127">
        <f>1754.21489</f>
        <v>1754.21489</v>
      </c>
      <c r="H86" s="127">
        <f t="shared" si="9"/>
        <v>6807.7851099999998</v>
      </c>
      <c r="I86" s="127">
        <f>1699.5066</f>
        <v>1699.5065999999999</v>
      </c>
      <c r="J86" s="245"/>
    </row>
    <row r="87" spans="1:10" ht="14.15" customHeight="1" x14ac:dyDescent="0.35">
      <c r="A87" s="197"/>
      <c r="B87" s="182"/>
      <c r="C87" s="62" t="s">
        <v>27</v>
      </c>
      <c r="D87" s="63">
        <v>5463</v>
      </c>
      <c r="E87" s="63">
        <v>5719</v>
      </c>
      <c r="F87" s="127">
        <f>438.22566</f>
        <v>438.22566</v>
      </c>
      <c r="G87" s="127">
        <f>1282.53668</f>
        <v>1282.5366799999999</v>
      </c>
      <c r="H87" s="127">
        <f t="shared" si="9"/>
        <v>4436.4633199999998</v>
      </c>
      <c r="I87" s="127">
        <f>600.87528</f>
        <v>600.87527999999998</v>
      </c>
      <c r="J87" s="245"/>
    </row>
    <row r="88" spans="1:10" ht="14.15" customHeight="1" x14ac:dyDescent="0.35">
      <c r="A88" s="197"/>
      <c r="B88" s="182"/>
      <c r="C88" s="56" t="s">
        <v>53</v>
      </c>
      <c r="D88" s="58">
        <v>7105</v>
      </c>
      <c r="E88" s="58">
        <v>7889</v>
      </c>
      <c r="F88" s="132">
        <f>1.13134</f>
        <v>1.13134</v>
      </c>
      <c r="G88" s="132">
        <f>903.15423</f>
        <v>903.15422999999998</v>
      </c>
      <c r="H88" s="132">
        <f t="shared" si="9"/>
        <v>6985.8457699999999</v>
      </c>
      <c r="I88" s="132">
        <f>3265.35289</f>
        <v>3265.3528900000001</v>
      </c>
      <c r="J88" s="245"/>
    </row>
    <row r="89" spans="1:10" ht="15.75" customHeight="1" x14ac:dyDescent="0.35">
      <c r="A89" s="1"/>
      <c r="B89" s="53"/>
      <c r="C89" s="38" t="s">
        <v>11</v>
      </c>
      <c r="D89" s="61">
        <v>3158</v>
      </c>
      <c r="E89" s="61">
        <v>3507</v>
      </c>
      <c r="F89" s="75">
        <f>52.4644</f>
        <v>52.464399999999998</v>
      </c>
      <c r="G89" s="75">
        <f>675.44621</f>
        <v>675.44620999999995</v>
      </c>
      <c r="H89" s="75">
        <f t="shared" si="9"/>
        <v>2831.5537899999999</v>
      </c>
      <c r="I89" s="75">
        <f>1054.00194</f>
        <v>1054.0019400000001</v>
      </c>
      <c r="J89" s="245"/>
    </row>
    <row r="90" spans="1:10" ht="15.75" customHeight="1" x14ac:dyDescent="0.35">
      <c r="A90" s="1"/>
      <c r="B90" s="53"/>
      <c r="C90" s="73" t="s">
        <v>34</v>
      </c>
      <c r="D90" s="89">
        <v>319</v>
      </c>
      <c r="E90" s="89">
        <v>319</v>
      </c>
      <c r="F90" s="98">
        <f>0</f>
        <v>0</v>
      </c>
      <c r="G90" s="98">
        <f>11.66984</f>
        <v>11.669840000000001</v>
      </c>
      <c r="H90" s="98">
        <f t="shared" si="9"/>
        <v>307.33015999999998</v>
      </c>
      <c r="I90" s="98">
        <f>20.38927</f>
        <v>20.38927</v>
      </c>
      <c r="J90" s="245"/>
    </row>
    <row r="91" spans="1:10" ht="18" customHeight="1" x14ac:dyDescent="0.35">
      <c r="A91" s="1"/>
      <c r="B91" s="255"/>
      <c r="C91" s="73" t="s">
        <v>54</v>
      </c>
      <c r="D91" s="143">
        <v>300</v>
      </c>
      <c r="E91" s="143">
        <v>300</v>
      </c>
      <c r="F91" s="139">
        <f>1.30564</f>
        <v>1.3056399999999999</v>
      </c>
      <c r="G91" s="139">
        <f>E91</f>
        <v>300</v>
      </c>
      <c r="H91" s="139">
        <f t="shared" si="9"/>
        <v>0</v>
      </c>
      <c r="I91" s="139">
        <f>E91</f>
        <v>300</v>
      </c>
      <c r="J91" s="245"/>
    </row>
    <row r="92" spans="1:10" ht="16.5" customHeight="1" x14ac:dyDescent="0.35">
      <c r="A92" s="1"/>
      <c r="B92" s="255"/>
      <c r="C92" s="93" t="s">
        <v>38</v>
      </c>
      <c r="D92" s="143">
        <v>50</v>
      </c>
      <c r="E92" s="143">
        <v>50</v>
      </c>
      <c r="F92" s="98">
        <f>0.32396</f>
        <v>0.32396000000000003</v>
      </c>
      <c r="G92" s="98">
        <f>7.53105</f>
        <v>7.5310499999999996</v>
      </c>
      <c r="H92" s="139">
        <f>E92-G92</f>
        <v>42.46895</v>
      </c>
      <c r="I92" s="98">
        <f>5.54915</f>
        <v>5.54915</v>
      </c>
      <c r="J92" s="245"/>
    </row>
    <row r="93" spans="1:10" ht="18" customHeight="1" x14ac:dyDescent="0.35">
      <c r="A93" s="1"/>
      <c r="B93" s="255"/>
      <c r="C93" s="93" t="s">
        <v>55</v>
      </c>
      <c r="D93" s="143"/>
      <c r="E93" s="139"/>
      <c r="F93" s="139">
        <f>0</f>
        <v>0</v>
      </c>
      <c r="G93" s="139">
        <f>1.0708</f>
        <v>1.0708</v>
      </c>
      <c r="H93" s="139">
        <f t="shared" ref="H93" si="10">E93-G93</f>
        <v>-1.0708</v>
      </c>
      <c r="I93" s="139">
        <f>2.9723</f>
        <v>2.9723000000000002</v>
      </c>
      <c r="J93" s="245"/>
    </row>
    <row r="94" spans="1:10" ht="16.5" customHeight="1" x14ac:dyDescent="0.35">
      <c r="A94" s="1"/>
      <c r="B94" s="255"/>
      <c r="C94" s="74" t="s">
        <v>40</v>
      </c>
      <c r="D94" s="76">
        <f>D79+D82+D90+D91+D92+D93</f>
        <v>65468</v>
      </c>
      <c r="E94" s="76">
        <f t="shared" ref="E94" si="11">E79+E82+E90+E91+E92+E93</f>
        <v>69710</v>
      </c>
      <c r="F94" s="76">
        <f t="shared" ref="F94:I94" si="12">F79+F82+F90+F91+F92+F93</f>
        <v>2207.0638800000002</v>
      </c>
      <c r="G94" s="76">
        <f t="shared" si="12"/>
        <v>10995.690919999999</v>
      </c>
      <c r="H94" s="76">
        <f t="shared" si="12"/>
        <v>58714.309079999992</v>
      </c>
      <c r="I94" s="76">
        <f t="shared" si="12"/>
        <v>23484.594299999997</v>
      </c>
      <c r="J94" s="245"/>
    </row>
    <row r="95" spans="1:10" ht="13.5" customHeight="1" x14ac:dyDescent="0.35">
      <c r="A95" s="1"/>
      <c r="B95" s="255"/>
      <c r="C95" s="77" t="s">
        <v>126</v>
      </c>
      <c r="D95" s="100"/>
      <c r="E95" s="100"/>
      <c r="F95" s="102"/>
      <c r="G95" s="102"/>
      <c r="H95" s="104"/>
      <c r="I95" s="229"/>
      <c r="J95" s="245"/>
    </row>
    <row r="96" spans="1:10" ht="13.5" customHeight="1" x14ac:dyDescent="0.35">
      <c r="A96" s="1"/>
      <c r="B96" s="24"/>
      <c r="C96" s="161" t="s">
        <v>143</v>
      </c>
      <c r="D96" s="259"/>
      <c r="E96" s="259"/>
      <c r="F96" s="80"/>
      <c r="G96" s="80"/>
      <c r="H96" s="229"/>
      <c r="I96" s="229"/>
      <c r="J96" s="105"/>
    </row>
    <row r="97" spans="1:10" ht="15" customHeight="1" x14ac:dyDescent="0.35">
      <c r="A97" s="1"/>
      <c r="B97" s="24"/>
      <c r="C97" s="161" t="s">
        <v>131</v>
      </c>
      <c r="D97" s="259"/>
      <c r="E97" s="259"/>
      <c r="F97" s="80"/>
      <c r="G97" s="80"/>
      <c r="H97" s="229"/>
      <c r="I97" s="229"/>
      <c r="J97" s="105"/>
    </row>
    <row r="98" spans="1:10" ht="15" customHeight="1" x14ac:dyDescent="0.35">
      <c r="A98" s="1"/>
      <c r="B98" s="24"/>
      <c r="C98" s="229" t="s">
        <v>56</v>
      </c>
      <c r="D98" s="259"/>
      <c r="E98" s="259"/>
      <c r="F98" s="80"/>
      <c r="G98" s="80"/>
      <c r="H98" s="229"/>
      <c r="I98" s="229"/>
      <c r="J98" s="105"/>
    </row>
    <row r="99" spans="1:10" ht="12" customHeight="1" x14ac:dyDescent="0.35">
      <c r="A99" s="1"/>
      <c r="B99" s="92"/>
      <c r="C99" s="107"/>
      <c r="D99" s="110"/>
      <c r="E99" s="110"/>
      <c r="F99" s="110"/>
      <c r="G99" s="110"/>
      <c r="H99" s="110"/>
      <c r="I99" s="201"/>
      <c r="J99" s="111"/>
    </row>
    <row r="100" spans="1:10" ht="12" customHeight="1" x14ac:dyDescent="0.35">
      <c r="A100" s="1"/>
      <c r="B100" s="101"/>
      <c r="C100" s="1" t="s">
        <v>112</v>
      </c>
      <c r="D100" s="229"/>
      <c r="E100" s="229"/>
      <c r="F100" s="229"/>
      <c r="G100" s="229"/>
      <c r="H100" s="229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19"/>
      <c r="B102" s="219"/>
      <c r="C102" s="220" t="s">
        <v>57</v>
      </c>
      <c r="D102" s="219"/>
      <c r="E102" s="219"/>
      <c r="F102" s="219"/>
      <c r="G102" s="219"/>
      <c r="H102" s="219"/>
      <c r="I102" s="219"/>
      <c r="J102" s="219"/>
    </row>
    <row r="103" spans="1:10" ht="3" customHeight="1" x14ac:dyDescent="0.35">
      <c r="A103" s="219"/>
      <c r="B103" s="219"/>
      <c r="C103" s="220"/>
      <c r="D103" s="219"/>
      <c r="E103" s="219"/>
      <c r="F103" s="219"/>
      <c r="G103" s="219"/>
      <c r="H103" s="219"/>
      <c r="I103" s="219"/>
      <c r="J103" s="219"/>
    </row>
    <row r="104" spans="1:10" ht="14.15" customHeight="1" x14ac:dyDescent="0.35">
      <c r="A104" s="1"/>
      <c r="B104" s="138"/>
      <c r="C104" s="154"/>
      <c r="D104" s="154"/>
      <c r="E104" s="154"/>
      <c r="F104" s="154"/>
      <c r="G104" s="154"/>
      <c r="H104" s="154"/>
      <c r="I104" s="154"/>
      <c r="J104" s="162"/>
    </row>
    <row r="105" spans="1:10" ht="15" customHeight="1" x14ac:dyDescent="0.35">
      <c r="A105" s="1"/>
      <c r="B105" s="52"/>
      <c r="C105" s="149" t="s">
        <v>1</v>
      </c>
      <c r="D105" s="185"/>
      <c r="E105" s="149" t="s">
        <v>2</v>
      </c>
      <c r="F105" s="185"/>
      <c r="G105" s="149" t="s">
        <v>3</v>
      </c>
      <c r="H105" s="185"/>
      <c r="I105" s="178"/>
      <c r="J105" s="245"/>
    </row>
    <row r="106" spans="1:10" ht="14.15" customHeight="1" x14ac:dyDescent="0.35">
      <c r="A106" s="1"/>
      <c r="B106" s="255"/>
      <c r="C106" s="115" t="s">
        <v>6</v>
      </c>
      <c r="D106" s="114">
        <v>179367</v>
      </c>
      <c r="E106" s="99" t="s">
        <v>4</v>
      </c>
      <c r="F106" s="114">
        <v>64787</v>
      </c>
      <c r="G106" s="115" t="s">
        <v>5</v>
      </c>
      <c r="H106" s="114">
        <v>7319</v>
      </c>
      <c r="I106" s="178"/>
      <c r="J106" s="245"/>
    </row>
    <row r="107" spans="1:10" ht="14.15" customHeight="1" x14ac:dyDescent="0.35">
      <c r="A107" s="1"/>
      <c r="B107" s="255"/>
      <c r="C107" s="115" t="s">
        <v>9</v>
      </c>
      <c r="D107" s="117">
        <v>12100</v>
      </c>
      <c r="E107" s="115" t="s">
        <v>7</v>
      </c>
      <c r="F107" s="117">
        <v>66538</v>
      </c>
      <c r="G107" s="115" t="s">
        <v>8</v>
      </c>
      <c r="H107" s="117">
        <v>49904</v>
      </c>
      <c r="I107" s="178"/>
      <c r="J107" s="245"/>
    </row>
    <row r="108" spans="1:10" ht="14.15" customHeight="1" x14ac:dyDescent="0.35">
      <c r="A108" s="1"/>
      <c r="B108" s="255"/>
      <c r="C108" s="249" t="s">
        <v>58</v>
      </c>
      <c r="D108" s="117">
        <v>1650</v>
      </c>
      <c r="E108" s="115" t="s">
        <v>59</v>
      </c>
      <c r="F108" s="117">
        <v>43775</v>
      </c>
      <c r="G108" s="115" t="s">
        <v>11</v>
      </c>
      <c r="H108" s="117">
        <v>9315</v>
      </c>
      <c r="I108" s="178"/>
      <c r="J108" s="245"/>
    </row>
    <row r="109" spans="1:10" ht="14.15" customHeight="1" x14ac:dyDescent="0.35">
      <c r="A109" s="1"/>
      <c r="B109" s="153"/>
      <c r="C109" s="165"/>
      <c r="D109" s="191"/>
      <c r="E109" s="191" t="s">
        <v>60</v>
      </c>
      <c r="F109" s="117">
        <v>4267</v>
      </c>
      <c r="G109" s="115"/>
      <c r="H109" s="165"/>
      <c r="I109" s="178"/>
      <c r="J109" s="245"/>
    </row>
    <row r="110" spans="1:10" ht="12" customHeight="1" x14ac:dyDescent="0.35">
      <c r="A110" s="1"/>
      <c r="B110" s="255"/>
      <c r="C110" s="177" t="s">
        <v>49</v>
      </c>
      <c r="D110" s="212">
        <v>193117</v>
      </c>
      <c r="E110" s="112" t="s">
        <v>14</v>
      </c>
      <c r="F110" s="189">
        <v>179367</v>
      </c>
      <c r="G110" s="177" t="s">
        <v>7</v>
      </c>
      <c r="H110" s="189">
        <v>66538</v>
      </c>
      <c r="I110" s="178"/>
      <c r="J110" s="245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42"/>
      <c r="C112" s="273"/>
      <c r="D112" s="273"/>
      <c r="E112" s="234"/>
      <c r="F112" s="234"/>
      <c r="G112" s="234"/>
      <c r="H112" s="234"/>
      <c r="I112" s="234"/>
      <c r="J112" s="246"/>
    </row>
    <row r="113" spans="1:10" ht="25.5" customHeight="1" x14ac:dyDescent="0.35">
      <c r="A113" s="1"/>
      <c r="B113" s="255"/>
      <c r="C113" s="18" t="str">
        <f>C19</f>
        <v>KVOTE- OG FANGSTOVERSIKT</v>
      </c>
      <c r="D113" s="1"/>
      <c r="E113" s="1"/>
      <c r="F113" s="1"/>
      <c r="G113" s="1"/>
      <c r="H113" s="1"/>
      <c r="I113" s="1"/>
      <c r="J113" s="120"/>
    </row>
    <row r="114" spans="1:10" ht="53.25" customHeight="1" x14ac:dyDescent="0.35">
      <c r="A114" s="156"/>
      <c r="B114" s="52"/>
      <c r="C114" s="265" t="s">
        <v>16</v>
      </c>
      <c r="D114" s="15" t="s">
        <v>17</v>
      </c>
      <c r="E114" s="15" t="s">
        <v>61</v>
      </c>
      <c r="F114" s="15" t="s">
        <v>146</v>
      </c>
      <c r="G114" s="15" t="s">
        <v>147</v>
      </c>
      <c r="H114" s="15" t="s">
        <v>148</v>
      </c>
      <c r="I114" s="15" t="s">
        <v>149</v>
      </c>
      <c r="J114" s="281"/>
    </row>
    <row r="115" spans="1:10" ht="14.15" customHeight="1" x14ac:dyDescent="0.35">
      <c r="A115" s="1"/>
      <c r="B115" s="255"/>
      <c r="C115" s="16" t="s">
        <v>62</v>
      </c>
      <c r="D115" s="28">
        <f>D116+D117+D118</f>
        <v>64787</v>
      </c>
      <c r="E115" s="28">
        <f>E116+E117+E118</f>
        <v>72290</v>
      </c>
      <c r="F115" s="11">
        <f t="shared" ref="F115:I115" si="13">F116+F117+F118</f>
        <v>1237.7155</v>
      </c>
      <c r="G115" s="11">
        <f t="shared" si="13"/>
        <v>14584.8977</v>
      </c>
      <c r="H115" s="11">
        <f t="shared" si="13"/>
        <v>57705.102300000006</v>
      </c>
      <c r="I115" s="11">
        <f t="shared" si="13"/>
        <v>16872.09474</v>
      </c>
      <c r="J115" s="245"/>
    </row>
    <row r="116" spans="1:10" ht="14.15" customHeight="1" x14ac:dyDescent="0.35">
      <c r="A116" s="1"/>
      <c r="B116" s="255"/>
      <c r="C116" s="44" t="s">
        <v>20</v>
      </c>
      <c r="D116" s="45">
        <v>51830</v>
      </c>
      <c r="E116" s="45">
        <v>57471</v>
      </c>
      <c r="F116" s="23">
        <f>1237.7155</f>
        <v>1237.7155</v>
      </c>
      <c r="G116" s="23">
        <f>13701.29465</f>
        <v>13701.29465</v>
      </c>
      <c r="H116" s="23">
        <f>E116-G116</f>
        <v>43769.705350000004</v>
      </c>
      <c r="I116" s="23">
        <f>14703.70415</f>
        <v>14703.70415</v>
      </c>
      <c r="J116" s="245"/>
    </row>
    <row r="117" spans="1:10" ht="15" customHeight="1" x14ac:dyDescent="0.35">
      <c r="A117" s="1"/>
      <c r="B117" s="255"/>
      <c r="C117" s="44" t="s">
        <v>21</v>
      </c>
      <c r="D117" s="45">
        <v>12457</v>
      </c>
      <c r="E117" s="45">
        <v>14319</v>
      </c>
      <c r="F117" s="23">
        <f>0</f>
        <v>0</v>
      </c>
      <c r="G117" s="23">
        <f>825.4656</f>
        <v>825.46559999999999</v>
      </c>
      <c r="H117" s="23">
        <f>E117-G117</f>
        <v>13493.5344</v>
      </c>
      <c r="I117" s="23">
        <f>2105.85844</f>
        <v>2105.85844</v>
      </c>
      <c r="J117" s="245"/>
    </row>
    <row r="118" spans="1:10" ht="13.5" customHeight="1" x14ac:dyDescent="0.35">
      <c r="A118" s="1"/>
      <c r="B118" s="255"/>
      <c r="C118" s="48" t="s">
        <v>63</v>
      </c>
      <c r="D118" s="33">
        <v>500</v>
      </c>
      <c r="E118" s="33">
        <v>500</v>
      </c>
      <c r="F118" s="23">
        <f>0</f>
        <v>0</v>
      </c>
      <c r="G118" s="23">
        <f>58.13745</f>
        <v>58.137450000000001</v>
      </c>
      <c r="H118" s="55">
        <f>E118-G118</f>
        <v>441.86255</v>
      </c>
      <c r="I118" s="23">
        <f>62.53215</f>
        <v>62.532150000000001</v>
      </c>
      <c r="J118" s="245"/>
    </row>
    <row r="119" spans="1:10" ht="14.25" customHeight="1" x14ac:dyDescent="0.35">
      <c r="A119" s="67"/>
      <c r="B119" s="78"/>
      <c r="C119" s="88" t="s">
        <v>64</v>
      </c>
      <c r="D119" s="91">
        <v>43775</v>
      </c>
      <c r="E119" s="91">
        <v>52305</v>
      </c>
      <c r="F119" s="95">
        <f>3.73815</f>
        <v>3.7381500000000001</v>
      </c>
      <c r="G119" s="95">
        <f>29.86535</f>
        <v>29.865349999999999</v>
      </c>
      <c r="H119" s="95">
        <f>E119-G119</f>
        <v>52275.13465</v>
      </c>
      <c r="I119" s="95">
        <f>16.308</f>
        <v>16.308</v>
      </c>
      <c r="J119" s="116"/>
    </row>
    <row r="120" spans="1:10" ht="15.75" customHeight="1" x14ac:dyDescent="0.35">
      <c r="A120" s="1"/>
      <c r="B120" s="255"/>
      <c r="C120" s="142" t="s">
        <v>22</v>
      </c>
      <c r="D120" s="143">
        <f>D121+D126+D129</f>
        <v>67996</v>
      </c>
      <c r="E120" s="143">
        <f>E121+E126+E129</f>
        <v>72895</v>
      </c>
      <c r="F120" s="94">
        <f>F121+F126+F129</f>
        <v>1499.9556599999999</v>
      </c>
      <c r="G120" s="94">
        <f t="shared" ref="G120" si="14">G121+G126+G129</f>
        <v>23474.5105</v>
      </c>
      <c r="H120" s="94">
        <f>H121+H126+H129</f>
        <v>49420.489500000003</v>
      </c>
      <c r="I120" s="94">
        <f>I121+I126+I129</f>
        <v>30470.747079999997</v>
      </c>
      <c r="J120" s="120"/>
    </row>
    <row r="121" spans="1:10" ht="14.15" customHeight="1" x14ac:dyDescent="0.35">
      <c r="A121" s="1"/>
      <c r="B121" s="52"/>
      <c r="C121" s="121" t="s">
        <v>65</v>
      </c>
      <c r="D121" s="122">
        <f>D122+D123+D124+D125</f>
        <v>51362</v>
      </c>
      <c r="E121" s="122">
        <f>E122+E123+E124+E125</f>
        <v>54734</v>
      </c>
      <c r="F121" s="125">
        <f>F122+F123+F124+F125</f>
        <v>1398.7523999999999</v>
      </c>
      <c r="G121" s="125">
        <f>G122+G123+G125+G124</f>
        <v>17886.71184</v>
      </c>
      <c r="H121" s="125">
        <f>H122+H123+H124+H125</f>
        <v>36847.288160000004</v>
      </c>
      <c r="I121" s="125">
        <f>I122+I123+I124+I125</f>
        <v>24407.795099999999</v>
      </c>
      <c r="J121" s="281"/>
    </row>
    <row r="122" spans="1:10" ht="14.15" customHeight="1" x14ac:dyDescent="0.35">
      <c r="A122" s="197"/>
      <c r="B122" s="126"/>
      <c r="C122" s="62" t="s">
        <v>24</v>
      </c>
      <c r="D122" s="63">
        <v>13661</v>
      </c>
      <c r="E122" s="63">
        <v>16279</v>
      </c>
      <c r="F122" s="127">
        <f>221.16028</f>
        <v>221.16028</v>
      </c>
      <c r="G122" s="127">
        <f>4407.52499</f>
        <v>4407.5249899999999</v>
      </c>
      <c r="H122" s="127">
        <f>E122-G122</f>
        <v>11871.47501</v>
      </c>
      <c r="I122" s="127">
        <f>4598.30246</f>
        <v>4598.3024599999999</v>
      </c>
      <c r="J122" s="128"/>
    </row>
    <row r="123" spans="1:10" ht="14.15" customHeight="1" x14ac:dyDescent="0.35">
      <c r="A123" s="197"/>
      <c r="B123" s="182"/>
      <c r="C123" s="62" t="s">
        <v>51</v>
      </c>
      <c r="D123" s="63">
        <v>14094</v>
      </c>
      <c r="E123" s="63">
        <v>13937</v>
      </c>
      <c r="F123" s="127">
        <f>364.08182</f>
        <v>364.08181999999999</v>
      </c>
      <c r="G123" s="127">
        <f>6070.81447</f>
        <v>6070.8144700000003</v>
      </c>
      <c r="H123" s="127">
        <f>E123-G123</f>
        <v>7866.1855299999997</v>
      </c>
      <c r="I123" s="127">
        <f>8187.31865</f>
        <v>8187.3186500000002</v>
      </c>
      <c r="J123" s="129"/>
    </row>
    <row r="124" spans="1:10" ht="14.15" customHeight="1" x14ac:dyDescent="0.35">
      <c r="A124" s="197"/>
      <c r="B124" s="182"/>
      <c r="C124" s="62" t="s">
        <v>52</v>
      </c>
      <c r="D124" s="63">
        <v>12169</v>
      </c>
      <c r="E124" s="63">
        <v>11676</v>
      </c>
      <c r="F124" s="127">
        <f>354.17837</f>
        <v>354.17836999999997</v>
      </c>
      <c r="G124" s="127">
        <f>3849.59565</f>
        <v>3849.5956500000002</v>
      </c>
      <c r="H124" s="127">
        <f>E124-G124</f>
        <v>7826.4043499999998</v>
      </c>
      <c r="I124" s="127">
        <f>6035.53267</f>
        <v>6035.5326699999996</v>
      </c>
      <c r="J124" s="129"/>
    </row>
    <row r="125" spans="1:10" ht="14.15" customHeight="1" x14ac:dyDescent="0.35">
      <c r="A125" s="197"/>
      <c r="B125" s="182"/>
      <c r="C125" s="62" t="s">
        <v>27</v>
      </c>
      <c r="D125" s="63">
        <v>11438</v>
      </c>
      <c r="E125" s="63">
        <v>12842</v>
      </c>
      <c r="F125" s="127">
        <f>459.33193</f>
        <v>459.33193</v>
      </c>
      <c r="G125" s="127">
        <f>3558.77673</f>
        <v>3558.77673</v>
      </c>
      <c r="H125" s="127">
        <f>E125-G125</f>
        <v>9283.2232700000004</v>
      </c>
      <c r="I125" s="127">
        <f>5586.64132</f>
        <v>5586.6413199999997</v>
      </c>
      <c r="J125" s="129"/>
    </row>
    <row r="126" spans="1:10" ht="14.15" customHeight="1" x14ac:dyDescent="0.35">
      <c r="A126" s="66"/>
      <c r="B126" s="53"/>
      <c r="C126" s="56" t="s">
        <v>29</v>
      </c>
      <c r="D126" s="58">
        <f>D127+D128</f>
        <v>7319</v>
      </c>
      <c r="E126" s="58">
        <f>E127+E128</f>
        <v>7031</v>
      </c>
      <c r="F126" s="132">
        <f>SUM(F127:F128)</f>
        <v>2.7522000000000002</v>
      </c>
      <c r="G126" s="132">
        <f>SUM(G127:G128)</f>
        <v>3703.9691399999997</v>
      </c>
      <c r="H126" s="132">
        <f>H127+H128</f>
        <v>3327.0308600000003</v>
      </c>
      <c r="I126" s="132">
        <f>SUM(I127:I128)</f>
        <v>4250.6800499999999</v>
      </c>
      <c r="J126" s="133"/>
    </row>
    <row r="127" spans="1:10" ht="14.15" customHeight="1" x14ac:dyDescent="0.35">
      <c r="A127" s="1"/>
      <c r="B127" s="255"/>
      <c r="C127" s="62" t="s">
        <v>66</v>
      </c>
      <c r="D127" s="63">
        <v>6819</v>
      </c>
      <c r="E127" s="63">
        <v>6531</v>
      </c>
      <c r="F127" s="127">
        <f>2.0592</f>
        <v>2.0592000000000001</v>
      </c>
      <c r="G127" s="127">
        <f>3617.4624</f>
        <v>3617.4623999999999</v>
      </c>
      <c r="H127" s="127">
        <f t="shared" ref="H127:H135" si="15">E127-G127</f>
        <v>2913.5376000000001</v>
      </c>
      <c r="I127" s="127">
        <f>4137.08238</f>
        <v>4137.0823799999998</v>
      </c>
      <c r="J127" s="120"/>
    </row>
    <row r="128" spans="1:10" ht="15" customHeight="1" x14ac:dyDescent="0.35">
      <c r="A128" s="1"/>
      <c r="B128" s="53"/>
      <c r="C128" s="62" t="s">
        <v>67</v>
      </c>
      <c r="D128" s="63">
        <v>500</v>
      </c>
      <c r="E128" s="63">
        <v>500</v>
      </c>
      <c r="F128" s="127">
        <f>0.693</f>
        <v>0.69299999999999995</v>
      </c>
      <c r="G128" s="127">
        <f>86.50674</f>
        <v>86.506739999999994</v>
      </c>
      <c r="H128" s="127">
        <f t="shared" si="15"/>
        <v>413.49326000000002</v>
      </c>
      <c r="I128" s="127">
        <f>113.59767</f>
        <v>113.59766999999999</v>
      </c>
      <c r="J128" s="134"/>
    </row>
    <row r="129" spans="1:10" ht="15.75" customHeight="1" x14ac:dyDescent="0.35">
      <c r="A129" s="1"/>
      <c r="B129" s="255"/>
      <c r="C129" s="38" t="s">
        <v>11</v>
      </c>
      <c r="D129" s="61">
        <v>9315</v>
      </c>
      <c r="E129" s="61">
        <v>11130</v>
      </c>
      <c r="F129" s="75">
        <f>98.45106</f>
        <v>98.451059999999998</v>
      </c>
      <c r="G129" s="75">
        <f>1883.82952</f>
        <v>1883.82952</v>
      </c>
      <c r="H129" s="75">
        <f t="shared" si="15"/>
        <v>9246.1704800000007</v>
      </c>
      <c r="I129" s="75">
        <f>1812.27193</f>
        <v>1812.2719300000001</v>
      </c>
      <c r="J129" s="120"/>
    </row>
    <row r="130" spans="1:10" ht="15.75" customHeight="1" x14ac:dyDescent="0.35">
      <c r="A130" s="1"/>
      <c r="B130" s="255"/>
      <c r="C130" s="142" t="s">
        <v>34</v>
      </c>
      <c r="D130" s="143">
        <v>146</v>
      </c>
      <c r="E130" s="143">
        <v>146</v>
      </c>
      <c r="F130" s="139">
        <f>0</f>
        <v>0</v>
      </c>
      <c r="G130" s="139">
        <f>9.5135</f>
        <v>9.5135000000000005</v>
      </c>
      <c r="H130" s="139">
        <f t="shared" si="15"/>
        <v>136.48650000000001</v>
      </c>
      <c r="I130" s="139">
        <f>6.32267</f>
        <v>6.3226699999999996</v>
      </c>
      <c r="J130" s="120"/>
    </row>
    <row r="131" spans="1:10" ht="15.75" customHeight="1" x14ac:dyDescent="0.35">
      <c r="A131" s="1"/>
      <c r="B131" s="255"/>
      <c r="C131" s="140" t="s">
        <v>68</v>
      </c>
      <c r="D131" s="89">
        <v>350</v>
      </c>
      <c r="E131" s="89">
        <v>350</v>
      </c>
      <c r="F131" s="98">
        <f>0</f>
        <v>0</v>
      </c>
      <c r="G131" s="98">
        <f>0</f>
        <v>0</v>
      </c>
      <c r="H131" s="98">
        <f t="shared" si="15"/>
        <v>350</v>
      </c>
      <c r="I131" s="98">
        <f>0</f>
        <v>0</v>
      </c>
      <c r="J131" s="120"/>
    </row>
    <row r="132" spans="1:10" ht="18" customHeight="1" x14ac:dyDescent="0.35">
      <c r="A132" s="1"/>
      <c r="B132" s="255"/>
      <c r="C132" s="140" t="s">
        <v>69</v>
      </c>
      <c r="D132" s="143">
        <v>2000</v>
      </c>
      <c r="E132" s="143">
        <v>2000</v>
      </c>
      <c r="F132" s="139">
        <f>8.56473</f>
        <v>8.5647300000000008</v>
      </c>
      <c r="G132" s="139">
        <f>E132</f>
        <v>2000</v>
      </c>
      <c r="H132" s="139">
        <f t="shared" si="15"/>
        <v>0</v>
      </c>
      <c r="I132" s="139">
        <f>E132</f>
        <v>2000</v>
      </c>
      <c r="J132" s="245"/>
    </row>
    <row r="133" spans="1:10" ht="15.75" customHeight="1" x14ac:dyDescent="0.35">
      <c r="A133" s="1"/>
      <c r="B133" s="255"/>
      <c r="C133" s="142" t="s">
        <v>37</v>
      </c>
      <c r="D133" s="143"/>
      <c r="E133" s="143"/>
      <c r="F133" s="139">
        <v>0</v>
      </c>
      <c r="G133" s="139">
        <v>0</v>
      </c>
      <c r="H133" s="139">
        <f t="shared" si="15"/>
        <v>0</v>
      </c>
      <c r="I133" s="139"/>
      <c r="J133" s="120"/>
    </row>
    <row r="134" spans="1:10" ht="15.75" customHeight="1" x14ac:dyDescent="0.35">
      <c r="A134" s="1"/>
      <c r="B134" s="255"/>
      <c r="C134" s="142" t="s">
        <v>70</v>
      </c>
      <c r="D134" s="143">
        <v>313</v>
      </c>
      <c r="E134" s="143">
        <v>313</v>
      </c>
      <c r="F134" s="98">
        <f>7.14265</f>
        <v>7.1426499999999997</v>
      </c>
      <c r="G134" s="98">
        <f>63.7421</f>
        <v>63.742100000000001</v>
      </c>
      <c r="H134" s="139">
        <f t="shared" si="15"/>
        <v>249.25790000000001</v>
      </c>
      <c r="I134" s="98">
        <f>17.47963</f>
        <v>17.47963</v>
      </c>
      <c r="J134" s="120"/>
    </row>
    <row r="135" spans="1:10" ht="15" customHeight="1" x14ac:dyDescent="0.35">
      <c r="A135" s="1"/>
      <c r="B135" s="255"/>
      <c r="C135" s="142" t="s">
        <v>39</v>
      </c>
      <c r="D135" s="145"/>
      <c r="E135" s="143"/>
      <c r="F135" s="139">
        <f>0</f>
        <v>0</v>
      </c>
      <c r="G135" s="139">
        <f>41.86135</f>
        <v>41.861350000000002</v>
      </c>
      <c r="H135" s="139">
        <f t="shared" si="15"/>
        <v>-41.861350000000002</v>
      </c>
      <c r="I135" s="139">
        <f>35.2235</f>
        <v>35.223500000000001</v>
      </c>
      <c r="J135" s="120"/>
    </row>
    <row r="136" spans="1:10" ht="0" hidden="1" customHeight="1" x14ac:dyDescent="0.35">
      <c r="C136" s="148"/>
      <c r="D136" s="150"/>
      <c r="E136" s="151"/>
      <c r="F136" s="150"/>
      <c r="G136" s="150"/>
      <c r="H136" s="150"/>
      <c r="I136" s="155"/>
    </row>
    <row r="137" spans="1:10" ht="14.25" customHeight="1" x14ac:dyDescent="0.35">
      <c r="A137" s="156"/>
      <c r="B137" s="52"/>
      <c r="C137" s="158" t="s">
        <v>40</v>
      </c>
      <c r="D137" s="76">
        <f t="shared" ref="D137:E137" si="16">D115+D119+D120+D130+D131+D132+D133+D134+D135</f>
        <v>179367</v>
      </c>
      <c r="E137" s="76">
        <f t="shared" si="16"/>
        <v>200299</v>
      </c>
      <c r="F137" s="76">
        <f>F115+F119+F120+F130+F131+F132+F133+F134+F135</f>
        <v>2757.1166899999998</v>
      </c>
      <c r="G137" s="76">
        <f>G115+G119+G120+G130+G131+G132+G133+G134+G135</f>
        <v>40204.390500000001</v>
      </c>
      <c r="H137" s="76">
        <f>H115+H119+H120+H130+H131+H132+H133+H134+H135</f>
        <v>160094.60950000002</v>
      </c>
      <c r="I137" s="76">
        <f>I115+I119+I120+I130+I131+I132+I133+I134+I135</f>
        <v>49418.175620000002</v>
      </c>
      <c r="J137" s="160"/>
    </row>
    <row r="138" spans="1:10" ht="14.25" customHeight="1" x14ac:dyDescent="0.35">
      <c r="A138" s="156"/>
      <c r="B138" s="52"/>
      <c r="C138" s="161" t="s">
        <v>71</v>
      </c>
      <c r="D138" s="119"/>
      <c r="E138" s="119"/>
      <c r="F138" s="119"/>
      <c r="G138" s="119"/>
      <c r="H138" s="163"/>
      <c r="I138" s="163"/>
      <c r="J138" s="160"/>
    </row>
    <row r="139" spans="1:10" ht="14.25" customHeight="1" x14ac:dyDescent="0.35">
      <c r="A139" s="156"/>
      <c r="B139" s="52"/>
      <c r="C139" s="101" t="s">
        <v>128</v>
      </c>
      <c r="D139" s="119"/>
      <c r="E139" s="119"/>
      <c r="F139" s="119"/>
      <c r="G139" s="119"/>
      <c r="H139" s="163"/>
      <c r="I139" s="156"/>
      <c r="J139" s="281"/>
    </row>
    <row r="140" spans="1:10" ht="14.25" customHeight="1" x14ac:dyDescent="0.35">
      <c r="A140" s="156"/>
      <c r="B140" s="52"/>
      <c r="C140" s="161" t="s">
        <v>150</v>
      </c>
      <c r="D140" s="119"/>
      <c r="E140" s="119"/>
      <c r="F140" s="119"/>
      <c r="G140" s="119"/>
      <c r="H140" s="163"/>
      <c r="I140" s="156"/>
      <c r="J140" s="281"/>
    </row>
    <row r="141" spans="1:10" ht="14.25" customHeight="1" x14ac:dyDescent="0.35">
      <c r="A141" s="156"/>
      <c r="B141" s="52"/>
      <c r="C141" s="77" t="s">
        <v>144</v>
      </c>
      <c r="D141" s="119"/>
      <c r="E141" s="119"/>
      <c r="F141" s="119"/>
      <c r="G141" s="119"/>
      <c r="H141" s="163"/>
      <c r="I141" s="163"/>
      <c r="J141" s="281"/>
    </row>
    <row r="142" spans="1:10" ht="15.75" customHeight="1" x14ac:dyDescent="0.35">
      <c r="A142" s="156"/>
      <c r="B142" s="52"/>
      <c r="C142" s="161" t="s">
        <v>132</v>
      </c>
      <c r="D142" s="119"/>
      <c r="E142" s="119"/>
      <c r="F142" s="119"/>
      <c r="G142" s="119"/>
      <c r="H142" s="163"/>
      <c r="I142" s="163"/>
      <c r="J142" s="281"/>
    </row>
    <row r="143" spans="1:10" ht="15.75" customHeight="1" x14ac:dyDescent="0.35">
      <c r="A143" s="156"/>
      <c r="B143" s="52"/>
      <c r="C143" s="77" t="s">
        <v>138</v>
      </c>
      <c r="D143" s="119"/>
      <c r="E143" s="119"/>
      <c r="F143" s="119"/>
      <c r="G143" s="119"/>
      <c r="H143" s="163"/>
      <c r="I143" s="163"/>
      <c r="J143" s="281"/>
    </row>
    <row r="144" spans="1:10" ht="12" customHeight="1" x14ac:dyDescent="0.35">
      <c r="A144" s="1"/>
      <c r="B144" s="164"/>
      <c r="C144" s="107"/>
      <c r="D144" s="167"/>
      <c r="E144" s="167"/>
      <c r="F144" s="167"/>
      <c r="G144" s="167"/>
      <c r="H144" s="107"/>
      <c r="I144" s="107"/>
      <c r="J144" s="118"/>
    </row>
    <row r="145" spans="1:10" ht="12" customHeight="1" x14ac:dyDescent="0.35">
      <c r="A145" s="1"/>
      <c r="B145" s="1"/>
      <c r="C145" s="197"/>
      <c r="D145" s="170"/>
      <c r="E145" s="170"/>
      <c r="F145" s="170"/>
      <c r="G145" s="170"/>
      <c r="H145" s="1"/>
      <c r="I145" s="1"/>
      <c r="J145" s="1"/>
    </row>
    <row r="146" spans="1:10" ht="123.75" customHeight="1" x14ac:dyDescent="0.35">
      <c r="A146" s="1"/>
      <c r="B146" s="1"/>
      <c r="C146" s="197"/>
      <c r="D146" s="170"/>
      <c r="E146" s="170"/>
      <c r="F146" s="170"/>
      <c r="G146" s="170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20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20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6"/>
      <c r="C149" s="174"/>
      <c r="D149" s="174"/>
      <c r="E149" s="174"/>
      <c r="F149" s="174"/>
      <c r="G149" s="174"/>
      <c r="H149" s="174"/>
      <c r="I149" s="174"/>
      <c r="J149" s="176"/>
    </row>
    <row r="150" spans="1:10" ht="14.15" customHeight="1" x14ac:dyDescent="0.35">
      <c r="A150" s="1" t="s">
        <v>112</v>
      </c>
      <c r="B150" s="255"/>
      <c r="C150" s="149" t="s">
        <v>1</v>
      </c>
      <c r="D150" s="185"/>
      <c r="E150" s="282"/>
      <c r="F150" s="282"/>
      <c r="G150" s="282"/>
      <c r="H150" s="1"/>
      <c r="I150" s="1"/>
      <c r="J150" s="120"/>
    </row>
    <row r="151" spans="1:10" ht="14.15" customHeight="1" x14ac:dyDescent="0.35">
      <c r="A151" s="1"/>
      <c r="B151" s="255"/>
      <c r="C151" s="177" t="s">
        <v>6</v>
      </c>
      <c r="D151" s="189">
        <v>9675</v>
      </c>
      <c r="E151" s="282"/>
      <c r="F151" s="282"/>
      <c r="G151" s="282"/>
      <c r="H151" s="1"/>
      <c r="I151" s="1"/>
      <c r="J151" s="120"/>
    </row>
    <row r="152" spans="1:10" ht="14.15" customHeight="1" x14ac:dyDescent="0.35">
      <c r="A152" s="1"/>
      <c r="B152" s="255"/>
      <c r="C152" s="177" t="s">
        <v>9</v>
      </c>
      <c r="D152" s="189">
        <v>8625</v>
      </c>
      <c r="E152" s="282"/>
      <c r="F152" s="282"/>
      <c r="G152" s="236"/>
      <c r="H152" s="1"/>
      <c r="I152" s="1"/>
      <c r="J152" s="120"/>
    </row>
    <row r="153" spans="1:10" ht="14.15" customHeight="1" x14ac:dyDescent="0.35">
      <c r="A153" s="1"/>
      <c r="B153" s="255"/>
      <c r="C153" s="177" t="s">
        <v>73</v>
      </c>
      <c r="D153" s="189">
        <v>700</v>
      </c>
      <c r="E153" s="282"/>
      <c r="F153" s="282"/>
      <c r="G153" s="282"/>
      <c r="H153" s="1"/>
      <c r="I153" s="1"/>
      <c r="J153" s="120"/>
    </row>
    <row r="154" spans="1:10" ht="14.15" customHeight="1" x14ac:dyDescent="0.35">
      <c r="A154" s="1"/>
      <c r="B154" s="255"/>
      <c r="C154" s="177" t="s">
        <v>49</v>
      </c>
      <c r="D154" s="189">
        <v>19000</v>
      </c>
      <c r="E154" s="282"/>
      <c r="F154" s="282"/>
      <c r="G154" s="282"/>
      <c r="H154" s="1"/>
      <c r="I154" s="1"/>
      <c r="J154" s="120"/>
    </row>
    <row r="155" spans="1:10" ht="14.15" customHeight="1" x14ac:dyDescent="0.35">
      <c r="A155" s="1"/>
      <c r="B155" s="255"/>
      <c r="C155" s="1"/>
      <c r="D155" s="47"/>
      <c r="E155" s="282"/>
      <c r="F155" s="282"/>
      <c r="G155" s="282"/>
      <c r="H155" s="1"/>
      <c r="I155" s="1"/>
      <c r="J155" s="120"/>
    </row>
    <row r="156" spans="1:10" ht="3.75" customHeight="1" x14ac:dyDescent="0.35">
      <c r="A156" s="1"/>
      <c r="B156" s="242"/>
      <c r="C156" s="159"/>
      <c r="D156" s="159"/>
      <c r="E156" s="268"/>
      <c r="F156" s="268"/>
      <c r="G156" s="268"/>
      <c r="H156" s="234"/>
      <c r="I156" s="234"/>
      <c r="J156" s="246"/>
    </row>
    <row r="157" spans="1:10" ht="24.75" customHeight="1" x14ac:dyDescent="0.35">
      <c r="A157" s="1"/>
      <c r="B157" s="255"/>
      <c r="C157" s="18" t="s">
        <v>15</v>
      </c>
      <c r="D157" s="178"/>
      <c r="E157" s="170"/>
      <c r="F157" s="170"/>
      <c r="G157" s="170"/>
      <c r="H157" s="1"/>
      <c r="I157" s="1"/>
      <c r="J157" s="120"/>
    </row>
    <row r="158" spans="1:10" ht="15.75" customHeight="1" x14ac:dyDescent="0.35">
      <c r="A158" s="1"/>
      <c r="B158" s="198"/>
      <c r="C158" s="225"/>
      <c r="D158" s="225"/>
      <c r="E158" s="225"/>
      <c r="F158" s="225"/>
      <c r="G158" s="225"/>
      <c r="H158" s="225"/>
      <c r="I158" s="225"/>
      <c r="J158" s="13"/>
    </row>
    <row r="159" spans="1:10" ht="61.5" customHeight="1" x14ac:dyDescent="0.35">
      <c r="A159" s="156"/>
      <c r="B159" s="52"/>
      <c r="C159" s="15" t="s">
        <v>16</v>
      </c>
      <c r="D159" s="175" t="s">
        <v>2</v>
      </c>
      <c r="E159" s="15" t="s">
        <v>146</v>
      </c>
      <c r="F159" s="15" t="s">
        <v>147</v>
      </c>
      <c r="G159" s="54" t="s">
        <v>148</v>
      </c>
      <c r="H159" s="15" t="s">
        <v>149</v>
      </c>
      <c r="I159" s="156"/>
      <c r="J159" s="281"/>
    </row>
    <row r="160" spans="1:10" ht="14.15" customHeight="1" x14ac:dyDescent="0.35">
      <c r="A160" s="1"/>
      <c r="B160" s="255"/>
      <c r="C160" s="141" t="s">
        <v>74</v>
      </c>
      <c r="D160" s="94">
        <v>3762</v>
      </c>
      <c r="E160" s="277">
        <f>25.16445</f>
        <v>25.164449999999999</v>
      </c>
      <c r="F160" s="277">
        <f>195.96101</f>
        <v>195.96100999999999</v>
      </c>
      <c r="G160" s="43">
        <f>D160-F160-F161</f>
        <v>3368.1416800000002</v>
      </c>
      <c r="H160" s="277">
        <f>245.5358</f>
        <v>245.53579999999999</v>
      </c>
      <c r="I160" s="1"/>
      <c r="J160" s="120"/>
    </row>
    <row r="161" spans="1:10" ht="14.15" customHeight="1" x14ac:dyDescent="0.35">
      <c r="A161" s="1"/>
      <c r="B161" s="255"/>
      <c r="C161" s="137" t="s">
        <v>53</v>
      </c>
      <c r="D161" s="181"/>
      <c r="E161" s="152">
        <f>0</f>
        <v>0</v>
      </c>
      <c r="F161" s="152">
        <f>197.89731</f>
        <v>197.89731</v>
      </c>
      <c r="G161" s="218"/>
      <c r="H161" s="152">
        <f>222.88071</f>
        <v>222.88070999999999</v>
      </c>
      <c r="I161" s="1"/>
      <c r="J161" s="120"/>
    </row>
    <row r="162" spans="1:10" ht="15.65" customHeight="1" x14ac:dyDescent="0.35">
      <c r="A162" s="1"/>
      <c r="B162" s="255"/>
      <c r="C162" s="169" t="s">
        <v>75</v>
      </c>
      <c r="D162" s="98">
        <v>200</v>
      </c>
      <c r="E162" s="172">
        <f>8.27886</f>
        <v>8.2788599999999999</v>
      </c>
      <c r="F162" s="172">
        <f>21.25976</f>
        <v>21.25976</v>
      </c>
      <c r="G162" s="172">
        <f>D162-F162</f>
        <v>178.74024</v>
      </c>
      <c r="H162" s="172">
        <f>0.94096</f>
        <v>0.94096000000000002</v>
      </c>
      <c r="I162" s="1"/>
      <c r="J162" s="120"/>
    </row>
    <row r="163" spans="1:10" ht="14.15" customHeight="1" x14ac:dyDescent="0.35">
      <c r="A163" s="67"/>
      <c r="B163" s="78"/>
      <c r="C163" s="180" t="s">
        <v>76</v>
      </c>
      <c r="D163" s="181">
        <v>5642</v>
      </c>
      <c r="E163" s="181">
        <f>E164+E165+E166</f>
        <v>9.18018</v>
      </c>
      <c r="F163" s="181">
        <f>F164+F165+F166</f>
        <v>55.98386</v>
      </c>
      <c r="G163" s="181">
        <f>D163-F163</f>
        <v>5586.0161399999997</v>
      </c>
      <c r="H163" s="181">
        <f>H164+H165+H166</f>
        <v>19.491710000000001</v>
      </c>
      <c r="I163" s="67"/>
      <c r="J163" s="116"/>
    </row>
    <row r="164" spans="1:10" ht="14.15" customHeight="1" x14ac:dyDescent="0.35">
      <c r="A164" s="197"/>
      <c r="B164" s="182"/>
      <c r="C164" s="183" t="s">
        <v>77</v>
      </c>
      <c r="D164" s="127"/>
      <c r="E164" s="127">
        <f>3.74948</f>
        <v>3.7494800000000001</v>
      </c>
      <c r="F164" s="127">
        <f>19.54264</f>
        <v>19.542639999999999</v>
      </c>
      <c r="G164" s="127"/>
      <c r="H164" s="127">
        <f>6.85857</f>
        <v>6.8585700000000003</v>
      </c>
      <c r="I164" s="186"/>
      <c r="J164" s="129"/>
    </row>
    <row r="165" spans="1:10" ht="14.15" customHeight="1" x14ac:dyDescent="0.35">
      <c r="A165" s="197"/>
      <c r="B165" s="182"/>
      <c r="C165" s="183" t="s">
        <v>78</v>
      </c>
      <c r="D165" s="127"/>
      <c r="E165" s="127">
        <f>2.55188</f>
        <v>2.5518800000000001</v>
      </c>
      <c r="F165" s="127">
        <f>20.9615</f>
        <v>20.961500000000001</v>
      </c>
      <c r="G165" s="127"/>
      <c r="H165" s="127">
        <f>6.52654</f>
        <v>6.5265399999999998</v>
      </c>
      <c r="I165" s="186"/>
      <c r="J165" s="187"/>
    </row>
    <row r="166" spans="1:10" ht="14.15" customHeight="1" x14ac:dyDescent="0.35">
      <c r="A166" s="197"/>
      <c r="B166" s="182"/>
      <c r="C166" s="188" t="s">
        <v>79</v>
      </c>
      <c r="D166" s="192"/>
      <c r="E166" s="192">
        <f>2.87882</f>
        <v>2.8788200000000002</v>
      </c>
      <c r="F166" s="192">
        <f>15.47972</f>
        <v>15.47972</v>
      </c>
      <c r="G166" s="192"/>
      <c r="H166" s="192">
        <f>6.1066</f>
        <v>6.1066000000000003</v>
      </c>
      <c r="I166" s="186"/>
      <c r="J166" s="187"/>
    </row>
    <row r="167" spans="1:10" ht="14.15" customHeight="1" x14ac:dyDescent="0.35">
      <c r="A167" s="1"/>
      <c r="B167" s="255"/>
      <c r="C167" s="73" t="s">
        <v>80</v>
      </c>
      <c r="D167" s="139">
        <v>71</v>
      </c>
      <c r="E167" s="139">
        <f>0</f>
        <v>0</v>
      </c>
      <c r="F167" s="139">
        <f>0</f>
        <v>0</v>
      </c>
      <c r="G167" s="139">
        <f>D167-F167</f>
        <v>71</v>
      </c>
      <c r="H167" s="139">
        <f>0</f>
        <v>0</v>
      </c>
      <c r="I167" s="178"/>
      <c r="J167" s="245"/>
    </row>
    <row r="168" spans="1:10" ht="16.5" customHeight="1" x14ac:dyDescent="0.35">
      <c r="A168" s="1"/>
      <c r="B168" s="255"/>
      <c r="C168" s="93" t="s">
        <v>81</v>
      </c>
      <c r="D168" s="193"/>
      <c r="E168" s="94">
        <f>0</f>
        <v>0</v>
      </c>
      <c r="F168" s="94">
        <f>0</f>
        <v>0</v>
      </c>
      <c r="G168" s="94">
        <f>D168-F168</f>
        <v>0</v>
      </c>
      <c r="H168" s="94">
        <f>0</f>
        <v>0</v>
      </c>
      <c r="I168" s="178"/>
      <c r="J168" s="245"/>
    </row>
    <row r="169" spans="1:10" ht="19.399999999999999" customHeight="1" x14ac:dyDescent="0.35">
      <c r="A169" s="156"/>
      <c r="B169" s="52"/>
      <c r="C169" s="74" t="s">
        <v>40</v>
      </c>
      <c r="D169" s="194">
        <f>D160+D162+D163+D167</f>
        <v>9675</v>
      </c>
      <c r="E169" s="194">
        <f>E160+E161+E162+E163+E167+E168</f>
        <v>42.623489999999997</v>
      </c>
      <c r="F169" s="194">
        <f>F160+F161+F162+F163+F167+F168</f>
        <v>471.10193999999996</v>
      </c>
      <c r="G169" s="194">
        <f>D169-F169</f>
        <v>9203.8980599999995</v>
      </c>
      <c r="H169" s="194">
        <f>H160+H161+H162+H163+H167+H168</f>
        <v>488.84918000000005</v>
      </c>
      <c r="I169" s="163"/>
      <c r="J169" s="160"/>
    </row>
    <row r="170" spans="1:10" ht="42" customHeight="1" x14ac:dyDescent="0.35">
      <c r="A170" s="1"/>
      <c r="B170" s="198"/>
      <c r="C170" s="228" t="s">
        <v>133</v>
      </c>
      <c r="D170" s="228"/>
      <c r="E170" s="228"/>
      <c r="F170" s="228"/>
      <c r="G170" s="228"/>
      <c r="H170" s="225"/>
      <c r="I170" s="225"/>
      <c r="J170" s="13"/>
    </row>
    <row r="171" spans="1:10" ht="12" customHeight="1" x14ac:dyDescent="0.35">
      <c r="A171" s="156" t="s">
        <v>112</v>
      </c>
      <c r="B171" s="195"/>
      <c r="C171" s="107"/>
      <c r="D171" s="107"/>
      <c r="E171" s="107"/>
      <c r="F171" s="107"/>
      <c r="G171" s="107"/>
      <c r="H171" s="196"/>
      <c r="I171" s="199"/>
      <c r="J171" s="200"/>
    </row>
    <row r="172" spans="1:10" ht="10.5" customHeight="1" x14ac:dyDescent="0.35">
      <c r="A172" s="150"/>
      <c r="B172" s="1"/>
      <c r="C172" s="197"/>
      <c r="D172" s="170"/>
      <c r="E172" s="170"/>
      <c r="F172" s="170"/>
      <c r="G172" s="170"/>
      <c r="H172" s="1"/>
      <c r="I172" s="1"/>
      <c r="J172" s="1"/>
    </row>
    <row r="173" spans="1:10" ht="10.5" customHeight="1" x14ac:dyDescent="0.35">
      <c r="A173" s="150" t="s">
        <v>112</v>
      </c>
      <c r="B173" s="1"/>
      <c r="C173" s="197"/>
      <c r="D173" s="170"/>
      <c r="E173" s="170"/>
      <c r="F173" s="170"/>
      <c r="G173" s="170"/>
      <c r="H173" s="1"/>
      <c r="I173" s="1"/>
      <c r="J173" s="1"/>
    </row>
    <row r="174" spans="1:10" ht="21.75" customHeight="1" x14ac:dyDescent="0.5">
      <c r="A174" s="150"/>
      <c r="B174" s="1"/>
      <c r="C174" s="216" t="s">
        <v>82</v>
      </c>
      <c r="D174" s="170"/>
      <c r="E174" s="170"/>
      <c r="F174" s="170"/>
      <c r="G174" s="170"/>
      <c r="H174" s="1"/>
      <c r="I174" s="1"/>
      <c r="J174" s="1"/>
    </row>
    <row r="175" spans="1:10" ht="21.75" customHeight="1" x14ac:dyDescent="0.5">
      <c r="A175" s="150" t="s">
        <v>112</v>
      </c>
      <c r="B175" s="1"/>
      <c r="C175" s="216"/>
      <c r="D175" s="170"/>
      <c r="E175" s="170"/>
      <c r="F175" s="170"/>
      <c r="G175" s="170"/>
      <c r="H175" s="1"/>
      <c r="I175" s="1"/>
      <c r="J175" s="1"/>
    </row>
    <row r="176" spans="1:10" ht="12" customHeight="1" x14ac:dyDescent="0.35">
      <c r="A176" s="150"/>
      <c r="B176" s="138"/>
      <c r="C176" s="227"/>
      <c r="D176" s="238"/>
      <c r="E176" s="238"/>
      <c r="F176" s="238"/>
      <c r="G176" s="238"/>
      <c r="H176" s="154"/>
      <c r="I176" s="154"/>
      <c r="J176" s="162"/>
    </row>
    <row r="177" spans="1:10" ht="15" customHeight="1" x14ac:dyDescent="0.35">
      <c r="A177" s="150"/>
      <c r="B177" s="255"/>
      <c r="C177" s="149" t="s">
        <v>1</v>
      </c>
      <c r="D177" s="185"/>
      <c r="E177" s="150"/>
      <c r="F177" s="150"/>
      <c r="G177" s="170"/>
      <c r="H177" s="1"/>
      <c r="I177" s="1"/>
      <c r="J177" s="120"/>
    </row>
    <row r="178" spans="1:10" ht="15" customHeight="1" x14ac:dyDescent="0.35">
      <c r="A178" s="150"/>
      <c r="B178" s="255"/>
      <c r="C178" s="260" t="s">
        <v>83</v>
      </c>
      <c r="D178" s="271">
        <v>44278</v>
      </c>
      <c r="E178" s="150"/>
      <c r="F178" s="150"/>
      <c r="G178" s="170"/>
      <c r="H178" s="1"/>
      <c r="I178" s="1"/>
      <c r="J178" s="120"/>
    </row>
    <row r="179" spans="1:10" ht="15" customHeight="1" x14ac:dyDescent="0.35">
      <c r="A179" s="150"/>
      <c r="B179" s="255"/>
      <c r="C179" s="249" t="s">
        <v>84</v>
      </c>
      <c r="D179" s="46">
        <v>15194</v>
      </c>
      <c r="E179" s="150"/>
      <c r="F179" s="150"/>
      <c r="G179" s="170"/>
      <c r="H179" s="1"/>
      <c r="I179" s="1"/>
      <c r="J179" s="120"/>
    </row>
    <row r="180" spans="1:10" ht="18" customHeight="1" x14ac:dyDescent="0.35">
      <c r="A180" s="150"/>
      <c r="B180" s="255"/>
      <c r="C180" s="249" t="s">
        <v>85</v>
      </c>
      <c r="D180" s="46">
        <v>6719</v>
      </c>
      <c r="E180" s="150"/>
      <c r="F180" s="150"/>
      <c r="G180" s="170"/>
      <c r="H180" s="1"/>
      <c r="I180" s="1"/>
      <c r="J180" s="120"/>
    </row>
    <row r="181" spans="1:10" ht="11.25" customHeight="1" x14ac:dyDescent="0.35">
      <c r="A181" s="150"/>
      <c r="B181" s="255"/>
      <c r="C181" s="57" t="s">
        <v>49</v>
      </c>
      <c r="D181" s="35">
        <v>67191</v>
      </c>
      <c r="E181" s="150"/>
      <c r="F181" s="150"/>
      <c r="G181" s="170"/>
      <c r="H181" s="1"/>
      <c r="I181" s="1"/>
      <c r="J181" s="120"/>
    </row>
    <row r="182" spans="1:10" ht="12" customHeight="1" x14ac:dyDescent="0.35">
      <c r="A182" s="1"/>
      <c r="B182" s="255"/>
      <c r="C182" s="101" t="s">
        <v>134</v>
      </c>
      <c r="D182" s="170"/>
      <c r="E182" s="170"/>
      <c r="F182" s="170"/>
      <c r="G182" s="170"/>
      <c r="H182" s="1"/>
      <c r="I182" s="1"/>
      <c r="J182" s="120"/>
    </row>
    <row r="183" spans="1:10" ht="10.5" customHeight="1" x14ac:dyDescent="0.35">
      <c r="A183" s="1"/>
      <c r="B183" s="255"/>
      <c r="C183" s="101" t="s">
        <v>135</v>
      </c>
      <c r="D183" s="170"/>
      <c r="E183" s="170"/>
      <c r="F183" s="170"/>
      <c r="G183" s="170"/>
      <c r="H183" s="1"/>
      <c r="I183" s="1"/>
      <c r="J183" s="120"/>
    </row>
    <row r="184" spans="1:10" ht="12" customHeight="1" x14ac:dyDescent="0.35">
      <c r="A184" s="1"/>
      <c r="B184" s="255"/>
      <c r="C184" s="101" t="s">
        <v>136</v>
      </c>
      <c r="D184" s="170"/>
      <c r="E184" s="170"/>
      <c r="F184" s="170"/>
      <c r="G184" s="170"/>
      <c r="H184" s="1"/>
      <c r="I184" s="1"/>
      <c r="J184" s="120"/>
    </row>
    <row r="185" spans="1:10" ht="12" customHeight="1" x14ac:dyDescent="0.35">
      <c r="A185" s="1"/>
      <c r="B185" s="242"/>
      <c r="C185" s="268"/>
      <c r="D185" s="159"/>
      <c r="E185" s="159"/>
      <c r="F185" s="268"/>
      <c r="G185" s="268"/>
      <c r="H185" s="268"/>
      <c r="I185" s="234"/>
      <c r="J185" s="246"/>
    </row>
    <row r="186" spans="1:10" ht="23.25" customHeight="1" x14ac:dyDescent="0.35">
      <c r="A186" s="1"/>
      <c r="B186" s="255"/>
      <c r="C186" s="18" t="s">
        <v>15</v>
      </c>
      <c r="D186" s="170"/>
      <c r="E186" s="170"/>
      <c r="F186" s="170"/>
      <c r="G186" s="1"/>
      <c r="H186" s="1"/>
      <c r="I186" s="1"/>
      <c r="J186" s="120"/>
    </row>
    <row r="187" spans="1:10" ht="15" customHeight="1" x14ac:dyDescent="0.35">
      <c r="A187" s="1"/>
      <c r="B187" s="255"/>
      <c r="C187" s="101"/>
      <c r="D187" s="170"/>
      <c r="E187" s="170"/>
      <c r="F187" s="170"/>
      <c r="G187" s="170"/>
      <c r="H187" s="1"/>
      <c r="I187" s="1"/>
      <c r="J187" s="120"/>
    </row>
    <row r="188" spans="1:10" ht="48.75" customHeight="1" x14ac:dyDescent="0.35">
      <c r="A188" s="1"/>
      <c r="B188" s="255"/>
      <c r="C188" s="68" t="s">
        <v>16</v>
      </c>
      <c r="D188" s="215" t="s">
        <v>2</v>
      </c>
      <c r="E188" s="15" t="s">
        <v>141</v>
      </c>
      <c r="F188" s="68" t="s">
        <v>146</v>
      </c>
      <c r="G188" s="68" t="s">
        <v>147</v>
      </c>
      <c r="H188" s="68" t="s">
        <v>148</v>
      </c>
      <c r="I188" s="68" t="s">
        <v>149</v>
      </c>
      <c r="J188" s="120"/>
    </row>
    <row r="189" spans="1:10" ht="15" customHeight="1" x14ac:dyDescent="0.35">
      <c r="A189" s="1"/>
      <c r="B189" s="255"/>
      <c r="C189" s="90" t="s">
        <v>4</v>
      </c>
      <c r="D189" s="124">
        <v>44142</v>
      </c>
      <c r="E189" s="124">
        <v>43335</v>
      </c>
      <c r="F189" s="124">
        <f>503.972</f>
        <v>503.97199999999998</v>
      </c>
      <c r="G189" s="124">
        <f>14703.40122</f>
        <v>14703.40122</v>
      </c>
      <c r="H189" s="124">
        <f>D189-G189</f>
        <v>29438.59878</v>
      </c>
      <c r="I189" s="124">
        <f>12462.00382</f>
        <v>12462.00382</v>
      </c>
      <c r="J189" s="120"/>
    </row>
    <row r="190" spans="1:10" ht="15" customHeight="1" x14ac:dyDescent="0.35">
      <c r="A190" s="1"/>
      <c r="B190" s="255"/>
      <c r="C190" s="90" t="s">
        <v>67</v>
      </c>
      <c r="D190" s="124">
        <v>100</v>
      </c>
      <c r="E190" s="124">
        <v>100</v>
      </c>
      <c r="F190" s="124">
        <f>0.073</f>
        <v>7.2999999999999995E-2</v>
      </c>
      <c r="G190" s="124">
        <f>3.14994</f>
        <v>3.14994</v>
      </c>
      <c r="H190" s="124">
        <f>D190-G190</f>
        <v>96.850059999999999</v>
      </c>
      <c r="I190" s="124">
        <f>1.22445</f>
        <v>1.22445</v>
      </c>
      <c r="J190" s="120"/>
    </row>
    <row r="191" spans="1:10" ht="15.75" customHeight="1" x14ac:dyDescent="0.35">
      <c r="A191" s="1"/>
      <c r="B191" s="255"/>
      <c r="C191" s="146" t="s">
        <v>80</v>
      </c>
      <c r="D191" s="168">
        <v>36</v>
      </c>
      <c r="E191" s="168">
        <v>36</v>
      </c>
      <c r="F191" s="139">
        <f>0</f>
        <v>0</v>
      </c>
      <c r="G191" s="139">
        <f>0</f>
        <v>0</v>
      </c>
      <c r="H191" s="139">
        <f>D191-G191</f>
        <v>36</v>
      </c>
      <c r="I191" s="139">
        <f>0</f>
        <v>0</v>
      </c>
      <c r="J191" s="120"/>
    </row>
    <row r="192" spans="1:10" ht="16.5" customHeight="1" x14ac:dyDescent="0.35">
      <c r="A192" s="1"/>
      <c r="B192" s="255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504.04499999999996</v>
      </c>
      <c r="G192" s="190">
        <f>SUM(G189:G191)</f>
        <v>14706.551159999999</v>
      </c>
      <c r="H192" s="190">
        <f>D192-G192</f>
        <v>29571.448840000001</v>
      </c>
      <c r="I192" s="190">
        <f>SUM(I189:I191)</f>
        <v>12463.22827</v>
      </c>
      <c r="J192" s="120"/>
    </row>
    <row r="193" spans="1:10" ht="12" customHeight="1" x14ac:dyDescent="0.35">
      <c r="A193" s="1"/>
      <c r="B193" s="255"/>
      <c r="C193" s="101" t="s">
        <v>87</v>
      </c>
      <c r="D193" s="170"/>
      <c r="E193" s="170"/>
      <c r="F193" s="170"/>
      <c r="G193" s="170"/>
      <c r="H193" s="1"/>
      <c r="I193" s="1"/>
      <c r="J193" s="120"/>
    </row>
    <row r="194" spans="1:10" ht="15.75" customHeight="1" x14ac:dyDescent="0.35">
      <c r="A194" s="1"/>
      <c r="B194" s="164"/>
      <c r="C194" s="107" t="s">
        <v>142</v>
      </c>
      <c r="D194" s="107"/>
      <c r="E194" s="107"/>
      <c r="F194" s="209"/>
      <c r="G194" s="209"/>
      <c r="H194" s="209"/>
      <c r="I194" s="209"/>
      <c r="J194" s="217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50"/>
      <c r="B196" s="1"/>
      <c r="C196" s="216" t="s">
        <v>113</v>
      </c>
      <c r="D196" s="170"/>
      <c r="E196" s="170"/>
      <c r="F196" s="170"/>
      <c r="G196" s="170"/>
      <c r="H196" s="1"/>
      <c r="I196" s="1"/>
      <c r="J196" s="1"/>
    </row>
    <row r="197" spans="1:10" ht="21.75" customHeight="1" x14ac:dyDescent="0.5">
      <c r="A197" s="150" t="s">
        <v>112</v>
      </c>
      <c r="B197" s="1"/>
      <c r="C197" s="216"/>
      <c r="D197" s="170"/>
      <c r="E197" s="170"/>
      <c r="F197" s="170"/>
      <c r="G197" s="170"/>
      <c r="H197" s="1"/>
      <c r="I197" s="1"/>
      <c r="J197" s="1"/>
    </row>
    <row r="198" spans="1:10" ht="12" customHeight="1" x14ac:dyDescent="0.35">
      <c r="A198" s="150"/>
      <c r="B198" s="138"/>
      <c r="C198" s="227"/>
      <c r="D198" s="238"/>
      <c r="E198" s="238"/>
      <c r="F198" s="238"/>
      <c r="G198" s="238"/>
      <c r="H198" s="154"/>
      <c r="I198" s="154"/>
      <c r="J198" s="162"/>
    </row>
    <row r="199" spans="1:10" ht="23.25" customHeight="1" x14ac:dyDescent="0.35">
      <c r="A199" s="1"/>
      <c r="B199" s="255"/>
      <c r="C199" s="18" t="s">
        <v>15</v>
      </c>
      <c r="D199" s="170"/>
      <c r="E199" s="170"/>
      <c r="F199" s="170"/>
      <c r="G199" s="1"/>
      <c r="H199" s="1"/>
      <c r="I199" s="1"/>
      <c r="J199" s="120"/>
    </row>
    <row r="200" spans="1:10" ht="15" customHeight="1" x14ac:dyDescent="0.35">
      <c r="A200" s="1"/>
      <c r="B200" s="255"/>
      <c r="C200" s="101"/>
      <c r="D200" s="170"/>
      <c r="E200" s="170"/>
      <c r="F200" s="170"/>
      <c r="G200" s="170"/>
      <c r="H200" s="1"/>
      <c r="I200" s="1"/>
      <c r="J200" s="120"/>
    </row>
    <row r="201" spans="1:10" ht="48.75" customHeight="1" x14ac:dyDescent="0.35">
      <c r="A201" s="1"/>
      <c r="B201" s="255"/>
      <c r="C201" s="68" t="s">
        <v>16</v>
      </c>
      <c r="D201" s="79" t="s">
        <v>2</v>
      </c>
      <c r="E201" s="68" t="s">
        <v>146</v>
      </c>
      <c r="F201" s="68" t="s">
        <v>147</v>
      </c>
      <c r="G201" s="68" t="s">
        <v>148</v>
      </c>
      <c r="H201" s="68" t="s">
        <v>149</v>
      </c>
      <c r="I201" s="1"/>
      <c r="J201" s="120"/>
    </row>
    <row r="202" spans="1:10" ht="15" customHeight="1" x14ac:dyDescent="0.35">
      <c r="A202" s="1"/>
      <c r="B202" s="255"/>
      <c r="C202" s="90" t="s">
        <v>116</v>
      </c>
      <c r="D202" s="124">
        <v>3987</v>
      </c>
      <c r="E202" s="75">
        <f>E203+E204</f>
        <v>32.513980000000004</v>
      </c>
      <c r="F202" s="75">
        <f>F203+F204</f>
        <v>753.09487999999999</v>
      </c>
      <c r="G202" s="75">
        <f>D202-F202</f>
        <v>3233.9051199999999</v>
      </c>
      <c r="H202" s="75">
        <f>H203+H204</f>
        <v>794.84377000000006</v>
      </c>
      <c r="I202" s="249"/>
      <c r="J202" s="120"/>
    </row>
    <row r="203" spans="1:10" ht="15" customHeight="1" x14ac:dyDescent="0.35">
      <c r="A203" s="1"/>
      <c r="B203" s="255"/>
      <c r="C203" s="177" t="s">
        <v>8</v>
      </c>
      <c r="D203" s="124"/>
      <c r="E203" s="75">
        <f>0.6958</f>
        <v>0.69579999999999997</v>
      </c>
      <c r="F203" s="75">
        <f>522.32235</f>
        <v>522.32235000000003</v>
      </c>
      <c r="G203" s="75"/>
      <c r="H203" s="75">
        <f>594.82118</f>
        <v>594.82118000000003</v>
      </c>
      <c r="I203" s="249"/>
      <c r="J203" s="120"/>
    </row>
    <row r="204" spans="1:10" ht="15" customHeight="1" x14ac:dyDescent="0.35">
      <c r="A204" s="1"/>
      <c r="B204" s="255"/>
      <c r="C204" s="177" t="s">
        <v>67</v>
      </c>
      <c r="D204" s="124"/>
      <c r="E204" s="124">
        <f>31.81818</f>
        <v>31.818180000000002</v>
      </c>
      <c r="F204" s="124">
        <f>230.77253</f>
        <v>230.77252999999999</v>
      </c>
      <c r="G204" s="168"/>
      <c r="H204" s="124">
        <f>200.02259</f>
        <v>200.02259000000001</v>
      </c>
      <c r="I204" s="249"/>
      <c r="J204" s="120"/>
    </row>
    <row r="205" spans="1:10" ht="15" customHeight="1" x14ac:dyDescent="0.35">
      <c r="A205" s="1"/>
      <c r="B205" s="255"/>
      <c r="C205" s="90" t="s">
        <v>117</v>
      </c>
      <c r="D205" s="124">
        <v>4613</v>
      </c>
      <c r="E205" s="75">
        <f>77.22811</f>
        <v>77.228110000000001</v>
      </c>
      <c r="F205" s="75">
        <f>762.4583</f>
        <v>762.45830000000001</v>
      </c>
      <c r="G205" s="75">
        <f>D205-F205</f>
        <v>3850.5416999999998</v>
      </c>
      <c r="H205" s="75">
        <f>1091.02145</f>
        <v>1091.02145</v>
      </c>
      <c r="I205" s="249"/>
      <c r="J205" s="120"/>
    </row>
    <row r="206" spans="1:10" ht="16.5" customHeight="1" x14ac:dyDescent="0.35">
      <c r="A206" s="1"/>
      <c r="B206" s="255"/>
      <c r="C206" s="179" t="s">
        <v>86</v>
      </c>
      <c r="D206" s="190">
        <f>D205+D202</f>
        <v>8600</v>
      </c>
      <c r="E206" s="190">
        <f>SUM(E202,E205)</f>
        <v>109.74209</v>
      </c>
      <c r="F206" s="190">
        <f>SUM(F202,F205)</f>
        <v>1515.5531799999999</v>
      </c>
      <c r="G206" s="190">
        <f>D206-F206</f>
        <v>7084.4468200000001</v>
      </c>
      <c r="H206" s="190">
        <f>SUM(H202,H205)</f>
        <v>1885.8652200000001</v>
      </c>
      <c r="I206" s="249"/>
      <c r="J206" s="120"/>
    </row>
    <row r="207" spans="1:10" ht="19.5" customHeight="1" x14ac:dyDescent="0.35">
      <c r="A207" s="1"/>
      <c r="B207" s="164"/>
      <c r="C207" s="201"/>
      <c r="D207" s="107"/>
      <c r="E207" s="107"/>
      <c r="F207" s="209"/>
      <c r="G207" s="209"/>
      <c r="H207" s="209"/>
      <c r="I207" s="209"/>
      <c r="J207" s="217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50"/>
      <c r="B209" s="1"/>
      <c r="C209" s="216" t="s">
        <v>114</v>
      </c>
      <c r="D209" s="170"/>
      <c r="E209" s="170"/>
      <c r="F209" s="170"/>
      <c r="G209" s="170"/>
      <c r="H209" s="1"/>
      <c r="I209" s="1"/>
      <c r="J209" s="1"/>
    </row>
    <row r="210" spans="1:10" ht="21.75" customHeight="1" x14ac:dyDescent="0.5">
      <c r="A210" s="150" t="s">
        <v>112</v>
      </c>
      <c r="B210" s="1"/>
      <c r="C210" s="216"/>
      <c r="D210" s="170"/>
      <c r="E210" s="170"/>
      <c r="F210" s="170"/>
      <c r="G210" s="170"/>
      <c r="H210" s="1"/>
      <c r="I210" s="1"/>
      <c r="J210" s="1"/>
    </row>
    <row r="211" spans="1:10" ht="12" customHeight="1" x14ac:dyDescent="0.35">
      <c r="A211" s="150"/>
      <c r="B211" s="138"/>
      <c r="C211" s="227"/>
      <c r="D211" s="238"/>
      <c r="E211" s="238"/>
      <c r="F211" s="238"/>
      <c r="G211" s="238"/>
      <c r="H211" s="154"/>
      <c r="I211" s="154"/>
      <c r="J211" s="162"/>
    </row>
    <row r="212" spans="1:10" ht="23.25" customHeight="1" x14ac:dyDescent="0.35">
      <c r="A212" s="1"/>
      <c r="B212" s="255"/>
      <c r="C212" s="18" t="s">
        <v>15</v>
      </c>
      <c r="D212" s="170"/>
      <c r="E212" s="170"/>
      <c r="F212" s="170"/>
      <c r="G212" s="1"/>
      <c r="H212" s="1"/>
      <c r="I212" s="1"/>
      <c r="J212" s="120"/>
    </row>
    <row r="213" spans="1:10" ht="15" customHeight="1" x14ac:dyDescent="0.35">
      <c r="A213" s="1"/>
      <c r="B213" s="255"/>
      <c r="C213" s="101"/>
      <c r="D213" s="170"/>
      <c r="E213" s="170"/>
      <c r="F213" s="170"/>
      <c r="G213" s="170"/>
      <c r="H213" s="1"/>
      <c r="I213" s="1"/>
      <c r="J213" s="120"/>
    </row>
    <row r="214" spans="1:10" ht="48.75" customHeight="1" x14ac:dyDescent="0.35">
      <c r="A214" s="1"/>
      <c r="B214" s="255"/>
      <c r="C214" s="68" t="s">
        <v>16</v>
      </c>
      <c r="D214" s="79" t="s">
        <v>2</v>
      </c>
      <c r="E214" s="68" t="s">
        <v>146</v>
      </c>
      <c r="F214" s="68" t="s">
        <v>147</v>
      </c>
      <c r="G214" s="68" t="s">
        <v>148</v>
      </c>
      <c r="H214" s="68" t="s">
        <v>149</v>
      </c>
      <c r="I214" s="1"/>
      <c r="J214" s="120"/>
    </row>
    <row r="215" spans="1:10" ht="15" customHeight="1" x14ac:dyDescent="0.35">
      <c r="A215" s="1"/>
      <c r="B215" s="255"/>
      <c r="C215" s="90" t="s">
        <v>116</v>
      </c>
      <c r="D215" s="124">
        <v>5090</v>
      </c>
      <c r="E215" s="75">
        <f>E216+E217</f>
        <v>42.816279999999999</v>
      </c>
      <c r="F215" s="75">
        <f>F216+F217</f>
        <v>745.90404000000001</v>
      </c>
      <c r="G215" s="75">
        <f>D215-F215</f>
        <v>4344.0959599999996</v>
      </c>
      <c r="H215" s="75">
        <f>H216+H217</f>
        <v>645.91313000000002</v>
      </c>
      <c r="I215" s="249"/>
      <c r="J215" s="120"/>
    </row>
    <row r="216" spans="1:10" ht="15" customHeight="1" x14ac:dyDescent="0.35">
      <c r="A216" s="1"/>
      <c r="B216" s="255"/>
      <c r="C216" s="177" t="s">
        <v>8</v>
      </c>
      <c r="D216" s="124"/>
      <c r="E216" s="75">
        <f>0</f>
        <v>0</v>
      </c>
      <c r="F216" s="75">
        <f>623.03804</f>
        <v>623.03804000000002</v>
      </c>
      <c r="G216" s="75"/>
      <c r="H216" s="75">
        <f>520.57055</f>
        <v>520.57055000000003</v>
      </c>
      <c r="I216" s="249"/>
      <c r="J216" s="120"/>
    </row>
    <row r="217" spans="1:10" ht="15" customHeight="1" x14ac:dyDescent="0.35">
      <c r="A217" s="1"/>
      <c r="B217" s="255"/>
      <c r="C217" s="177" t="s">
        <v>67</v>
      </c>
      <c r="D217" s="124"/>
      <c r="E217" s="124">
        <f>42.81628</f>
        <v>42.816279999999999</v>
      </c>
      <c r="F217" s="124">
        <f>122.866</f>
        <v>122.866</v>
      </c>
      <c r="G217" s="168"/>
      <c r="H217" s="124">
        <f>125.34258</f>
        <v>125.34258</v>
      </c>
      <c r="I217" s="249"/>
      <c r="J217" s="120"/>
    </row>
    <row r="218" spans="1:10" ht="15" customHeight="1" x14ac:dyDescent="0.35">
      <c r="A218" s="1"/>
      <c r="B218" s="255"/>
      <c r="C218" s="90" t="s">
        <v>117</v>
      </c>
      <c r="D218" s="124">
        <v>2981</v>
      </c>
      <c r="E218" s="75">
        <f>69.98034</f>
        <v>69.980339999999998</v>
      </c>
      <c r="F218" s="75">
        <f>727.33869</f>
        <v>727.33869000000004</v>
      </c>
      <c r="G218" s="75">
        <f>D218-F218</f>
        <v>2253.66131</v>
      </c>
      <c r="H218" s="75">
        <f>793.34472</f>
        <v>793.34472000000005</v>
      </c>
      <c r="I218" s="249"/>
      <c r="J218" s="120"/>
    </row>
    <row r="219" spans="1:10" ht="16.5" customHeight="1" x14ac:dyDescent="0.35">
      <c r="A219" s="1"/>
      <c r="B219" s="255"/>
      <c r="C219" s="179" t="s">
        <v>86</v>
      </c>
      <c r="D219" s="190">
        <f>D218+D215</f>
        <v>8071</v>
      </c>
      <c r="E219" s="190">
        <f>SUM(E215,E218)</f>
        <v>112.79661999999999</v>
      </c>
      <c r="F219" s="190">
        <f>SUM(F215,F218)</f>
        <v>1473.2427299999999</v>
      </c>
      <c r="G219" s="190">
        <f>D219-F219</f>
        <v>6597.7572700000001</v>
      </c>
      <c r="H219" s="190">
        <f>SUM(H215,H218)</f>
        <v>1439.25785</v>
      </c>
      <c r="I219" s="249"/>
      <c r="J219" s="120"/>
    </row>
    <row r="220" spans="1:10" ht="19.5" customHeight="1" x14ac:dyDescent="0.35">
      <c r="A220" s="1"/>
      <c r="B220" s="164"/>
      <c r="C220" s="201"/>
      <c r="D220" s="107"/>
      <c r="E220" s="107"/>
      <c r="F220" s="209"/>
      <c r="G220" s="209"/>
      <c r="H220" s="209"/>
      <c r="I220" s="209"/>
      <c r="J220" s="217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19"/>
      <c r="B222" s="219"/>
      <c r="C222" s="220" t="s">
        <v>88</v>
      </c>
      <c r="D222" s="219"/>
      <c r="E222" s="219"/>
      <c r="F222" s="219"/>
      <c r="G222" s="219"/>
      <c r="H222" s="219"/>
      <c r="I222" s="219"/>
      <c r="J222" s="225"/>
    </row>
    <row r="223" spans="1:10" ht="21.75" customHeight="1" x14ac:dyDescent="0.35">
      <c r="A223" s="219" t="s">
        <v>112</v>
      </c>
      <c r="B223" s="219"/>
      <c r="C223" s="220"/>
      <c r="D223" s="219"/>
      <c r="E223" s="219"/>
      <c r="F223" s="219"/>
      <c r="G223" s="219"/>
      <c r="H223" s="219"/>
      <c r="I223" s="219"/>
      <c r="J223" s="225"/>
    </row>
    <row r="224" spans="1:10" ht="14.15" customHeight="1" x14ac:dyDescent="0.35">
      <c r="A224" s="1"/>
      <c r="B224" s="136"/>
      <c r="C224" s="174"/>
      <c r="D224" s="174"/>
      <c r="E224" s="174"/>
      <c r="F224" s="174"/>
      <c r="G224" s="174"/>
      <c r="H224" s="174"/>
      <c r="I224" s="174"/>
      <c r="J224" s="162"/>
    </row>
    <row r="225" spans="1:10" ht="14.15" customHeight="1" x14ac:dyDescent="0.35">
      <c r="A225" s="156"/>
      <c r="B225" s="52"/>
      <c r="C225" s="149" t="s">
        <v>1</v>
      </c>
      <c r="D225" s="185"/>
      <c r="E225" s="150"/>
      <c r="F225" s="150"/>
      <c r="G225" s="156"/>
      <c r="H225" s="156"/>
      <c r="I225" s="156"/>
      <c r="J225" s="120"/>
    </row>
    <row r="226" spans="1:10" ht="14.15" customHeight="1" x14ac:dyDescent="0.35">
      <c r="A226" s="1"/>
      <c r="B226" s="255"/>
      <c r="C226" s="260" t="s">
        <v>83</v>
      </c>
      <c r="D226" s="271">
        <v>3003</v>
      </c>
      <c r="E226" s="150"/>
      <c r="F226" s="226"/>
      <c r="G226" s="1"/>
      <c r="H226" s="1"/>
      <c r="I226" s="1"/>
      <c r="J226" s="120"/>
    </row>
    <row r="227" spans="1:10" ht="14.15" customHeight="1" x14ac:dyDescent="0.35">
      <c r="A227" s="1"/>
      <c r="B227" s="255"/>
      <c r="C227" s="249" t="s">
        <v>89</v>
      </c>
      <c r="D227" s="46">
        <v>9419</v>
      </c>
      <c r="E227" s="150"/>
      <c r="F227" s="226"/>
      <c r="G227" s="1"/>
      <c r="H227" s="1"/>
      <c r="I227" s="1"/>
      <c r="J227" s="120"/>
    </row>
    <row r="228" spans="1:10" ht="14.15" customHeight="1" x14ac:dyDescent="0.35">
      <c r="A228" s="1"/>
      <c r="B228" s="255"/>
      <c r="C228" s="249" t="s">
        <v>90</v>
      </c>
      <c r="D228" s="46">
        <v>7106</v>
      </c>
      <c r="E228" s="150"/>
      <c r="F228" s="226"/>
      <c r="G228" s="1"/>
      <c r="H228" s="1"/>
      <c r="I228" s="1"/>
      <c r="J228" s="120"/>
    </row>
    <row r="229" spans="1:10" ht="13.5" customHeight="1" x14ac:dyDescent="0.35">
      <c r="A229" s="1"/>
      <c r="B229" s="255"/>
      <c r="C229" s="249" t="s">
        <v>118</v>
      </c>
      <c r="D229" s="46">
        <v>382</v>
      </c>
      <c r="E229" s="150"/>
      <c r="F229" s="226"/>
      <c r="G229" s="1"/>
      <c r="H229" s="1"/>
      <c r="I229" s="1"/>
      <c r="J229" s="120"/>
    </row>
    <row r="230" spans="1:10" ht="14.25" customHeight="1" x14ac:dyDescent="0.35">
      <c r="A230" s="1"/>
      <c r="B230" s="255"/>
      <c r="C230" s="57" t="s">
        <v>49</v>
      </c>
      <c r="D230" s="35">
        <f>SUM(D226:D229)</f>
        <v>19910</v>
      </c>
      <c r="E230" s="150"/>
      <c r="F230" s="150"/>
      <c r="G230" s="1"/>
      <c r="H230" s="1"/>
      <c r="I230" s="1"/>
      <c r="J230" s="120"/>
    </row>
    <row r="231" spans="1:10" ht="14.15" customHeight="1" x14ac:dyDescent="0.35">
      <c r="A231" s="1"/>
      <c r="B231" s="255"/>
      <c r="C231" s="229" t="s">
        <v>91</v>
      </c>
      <c r="D231" s="230"/>
      <c r="E231" s="178"/>
      <c r="F231" s="178"/>
      <c r="G231" s="1"/>
      <c r="H231" s="1"/>
      <c r="I231" s="1"/>
      <c r="J231" s="120"/>
    </row>
    <row r="232" spans="1:10" ht="15" customHeight="1" x14ac:dyDescent="0.35">
      <c r="A232" s="1"/>
      <c r="B232" s="255"/>
      <c r="C232" s="101" t="s">
        <v>101</v>
      </c>
      <c r="D232" s="231"/>
      <c r="E232" s="1"/>
      <c r="F232" s="1"/>
      <c r="G232" s="1"/>
      <c r="H232" s="1"/>
      <c r="I232" s="1"/>
      <c r="J232" s="120"/>
    </row>
    <row r="233" spans="1:10" ht="14.25" customHeight="1" x14ac:dyDescent="0.35">
      <c r="A233" s="1"/>
      <c r="B233" s="255"/>
      <c r="C233" s="101"/>
      <c r="D233" s="1"/>
      <c r="E233" s="1"/>
      <c r="F233" s="1"/>
      <c r="G233" s="1"/>
      <c r="H233" s="1"/>
      <c r="I233" s="1"/>
      <c r="J233" s="120"/>
    </row>
    <row r="234" spans="1:10" ht="23.25" customHeight="1" x14ac:dyDescent="0.35">
      <c r="A234" s="1"/>
      <c r="B234" s="232"/>
      <c r="C234" s="235" t="s">
        <v>15</v>
      </c>
      <c r="D234" s="235"/>
      <c r="E234" s="235"/>
      <c r="F234" s="235"/>
      <c r="G234" s="235"/>
      <c r="H234" s="235"/>
      <c r="I234" s="235"/>
      <c r="J234" s="239"/>
    </row>
    <row r="235" spans="1:10" ht="14.15" customHeight="1" x14ac:dyDescent="0.35">
      <c r="A235" s="1"/>
      <c r="B235" s="241"/>
      <c r="C235" s="243"/>
      <c r="D235" s="243"/>
      <c r="E235" s="243"/>
      <c r="F235" s="243"/>
      <c r="G235" s="243"/>
      <c r="H235" s="243"/>
      <c r="I235" s="243"/>
      <c r="J235" s="120"/>
    </row>
    <row r="236" spans="1:10" ht="54" customHeight="1" x14ac:dyDescent="0.35">
      <c r="A236" s="1"/>
      <c r="B236" s="255"/>
      <c r="C236" s="68" t="s">
        <v>16</v>
      </c>
      <c r="D236" s="244" t="s">
        <v>2</v>
      </c>
      <c r="E236" s="68" t="s">
        <v>146</v>
      </c>
      <c r="F236" s="68" t="s">
        <v>147</v>
      </c>
      <c r="G236" s="68" t="s">
        <v>148</v>
      </c>
      <c r="H236" s="68" t="s">
        <v>149</v>
      </c>
      <c r="I236" s="1"/>
      <c r="J236" s="116"/>
    </row>
    <row r="237" spans="1:10" ht="14.15" customHeight="1" x14ac:dyDescent="0.35">
      <c r="A237" s="67"/>
      <c r="B237" s="78"/>
      <c r="C237" s="90" t="s">
        <v>92</v>
      </c>
      <c r="D237" s="124">
        <v>800</v>
      </c>
      <c r="E237" s="124">
        <f>3.53056</f>
        <v>3.5305599999999999</v>
      </c>
      <c r="F237" s="124">
        <f>73.59705</f>
        <v>73.597049999999996</v>
      </c>
      <c r="G237" s="124">
        <f>D237-F237</f>
        <v>726.40295000000003</v>
      </c>
      <c r="H237" s="124">
        <f>96.97661</f>
        <v>96.976609999999994</v>
      </c>
      <c r="I237" s="67"/>
      <c r="J237" s="245"/>
    </row>
    <row r="238" spans="1:10" ht="14.15" customHeight="1" x14ac:dyDescent="0.35">
      <c r="A238" s="1"/>
      <c r="B238" s="255"/>
      <c r="C238" s="90" t="s">
        <v>93</v>
      </c>
      <c r="D238" s="247">
        <v>2193</v>
      </c>
      <c r="E238" s="124">
        <f>6.73619</f>
        <v>6.7361899999999997</v>
      </c>
      <c r="F238" s="124">
        <f>170.53108</f>
        <v>170.53108</v>
      </c>
      <c r="G238" s="124">
        <f>D238-F238</f>
        <v>2022.46892</v>
      </c>
      <c r="H238" s="124">
        <f>290.15633</f>
        <v>290.15633000000003</v>
      </c>
      <c r="I238" s="178"/>
      <c r="J238" s="116"/>
    </row>
    <row r="239" spans="1:10" ht="16.5" customHeight="1" x14ac:dyDescent="0.35">
      <c r="A239" s="67"/>
      <c r="B239" s="78"/>
      <c r="C239" s="146" t="s">
        <v>80</v>
      </c>
      <c r="D239" s="247">
        <v>10</v>
      </c>
      <c r="E239" s="168">
        <f>0</f>
        <v>0</v>
      </c>
      <c r="F239" s="168">
        <f>0.05414</f>
        <v>5.4140000000000001E-2</v>
      </c>
      <c r="G239" s="124">
        <f>D239-F239</f>
        <v>9.9458599999999997</v>
      </c>
      <c r="H239" s="168">
        <f>0.61006</f>
        <v>0.61006000000000005</v>
      </c>
      <c r="I239" s="67"/>
      <c r="J239" s="250"/>
    </row>
    <row r="240" spans="1:10" ht="18.75" customHeight="1" x14ac:dyDescent="0.35">
      <c r="A240" s="67"/>
      <c r="B240" s="251"/>
      <c r="C240" s="146" t="s">
        <v>94</v>
      </c>
      <c r="D240" s="223"/>
      <c r="E240" s="168">
        <f>0</f>
        <v>0</v>
      </c>
      <c r="F240" s="168">
        <f>0.018</f>
        <v>1.7999999999999999E-2</v>
      </c>
      <c r="G240" s="124">
        <f>D240-F240</f>
        <v>-1.7999999999999999E-2</v>
      </c>
      <c r="H240" s="168">
        <f>0.047</f>
        <v>4.7E-2</v>
      </c>
      <c r="I240" s="285"/>
      <c r="J240" s="120"/>
    </row>
    <row r="241" spans="1:10" ht="14.15" customHeight="1" x14ac:dyDescent="0.35">
      <c r="A241" s="1"/>
      <c r="B241" s="255"/>
      <c r="C241" s="179" t="s">
        <v>86</v>
      </c>
      <c r="D241" s="6">
        <f>D226</f>
        <v>3003</v>
      </c>
      <c r="E241" s="190">
        <f>SUM(E237:E240)</f>
        <v>10.26675</v>
      </c>
      <c r="F241" s="190">
        <f>SUM(F237:F240)</f>
        <v>244.20026999999999</v>
      </c>
      <c r="G241" s="190">
        <f>D241-F241</f>
        <v>2758.7997300000002</v>
      </c>
      <c r="H241" s="190">
        <f>H237+H238+H239+H240</f>
        <v>387.79</v>
      </c>
      <c r="I241" s="1"/>
      <c r="J241" s="120"/>
    </row>
    <row r="242" spans="1:10" ht="14.15" customHeight="1" x14ac:dyDescent="0.35">
      <c r="A242" s="1"/>
      <c r="B242" s="255"/>
      <c r="C242" s="21"/>
      <c r="D242" s="34"/>
      <c r="E242" s="34"/>
      <c r="F242" s="34"/>
      <c r="G242" s="34"/>
      <c r="H242" s="34"/>
      <c r="I242" s="1"/>
      <c r="J242" s="120"/>
    </row>
    <row r="243" spans="1:10" ht="14.15" customHeight="1" x14ac:dyDescent="0.35">
      <c r="A243" s="1"/>
      <c r="B243" s="164"/>
      <c r="C243" s="107"/>
      <c r="D243" s="107"/>
      <c r="E243" s="107"/>
      <c r="F243" s="107"/>
      <c r="G243" s="106"/>
      <c r="H243" s="107"/>
      <c r="I243" s="107"/>
      <c r="J243" s="118"/>
    </row>
    <row r="244" spans="1:10" ht="16.5" customHeight="1" x14ac:dyDescent="0.35">
      <c r="A244" s="1"/>
      <c r="C244" s="150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19"/>
      <c r="B246" s="1"/>
      <c r="C246" s="216" t="s">
        <v>95</v>
      </c>
      <c r="D246" s="156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3"/>
      <c r="C247" s="240"/>
      <c r="D247" s="240"/>
      <c r="E247" s="240"/>
      <c r="F247" s="240"/>
      <c r="G247" s="240"/>
      <c r="H247" s="240"/>
      <c r="I247" s="240"/>
      <c r="J247" s="60"/>
    </row>
    <row r="248" spans="1:10" ht="6" customHeight="1" x14ac:dyDescent="0.35">
      <c r="B248" s="72"/>
      <c r="C248" s="150"/>
      <c r="D248" s="150"/>
      <c r="E248" s="150"/>
      <c r="F248" s="150"/>
      <c r="G248" s="150"/>
      <c r="H248" s="150"/>
      <c r="I248" s="150"/>
      <c r="J248" s="130"/>
    </row>
    <row r="249" spans="1:10" ht="18" customHeight="1" x14ac:dyDescent="0.35">
      <c r="B249" s="72"/>
      <c r="C249" s="149" t="s">
        <v>1</v>
      </c>
      <c r="D249" s="185"/>
      <c r="E249" s="149" t="s">
        <v>96</v>
      </c>
      <c r="F249" s="185"/>
      <c r="G249" s="149" t="s">
        <v>97</v>
      </c>
      <c r="H249" s="185"/>
      <c r="I249" s="150"/>
      <c r="J249" s="130"/>
    </row>
    <row r="250" spans="1:10" ht="14.25" customHeight="1" x14ac:dyDescent="0.35">
      <c r="B250" s="72"/>
      <c r="C250" s="260" t="s">
        <v>83</v>
      </c>
      <c r="D250" s="271">
        <f>37252+1500-880</f>
        <v>37872</v>
      </c>
      <c r="E250" s="253" t="s">
        <v>4</v>
      </c>
      <c r="F250" s="103">
        <v>24359</v>
      </c>
      <c r="G250" s="249" t="s">
        <v>20</v>
      </c>
      <c r="H250" s="46">
        <v>14132</v>
      </c>
      <c r="I250" s="150"/>
      <c r="J250" s="130"/>
    </row>
    <row r="251" spans="1:10" ht="14.25" customHeight="1" x14ac:dyDescent="0.35">
      <c r="B251" s="72"/>
      <c r="C251" s="249" t="s">
        <v>90</v>
      </c>
      <c r="D251" s="46">
        <f>25446+880-1500</f>
        <v>24826</v>
      </c>
      <c r="E251" s="178" t="s">
        <v>93</v>
      </c>
      <c r="F251" s="47">
        <v>8000</v>
      </c>
      <c r="G251" s="249" t="s">
        <v>21</v>
      </c>
      <c r="H251" s="46">
        <v>3678</v>
      </c>
      <c r="I251" s="150"/>
      <c r="J251" s="130"/>
    </row>
    <row r="252" spans="1:10" ht="14.25" customHeight="1" x14ac:dyDescent="0.35">
      <c r="B252" s="72"/>
      <c r="C252" s="249" t="s">
        <v>89</v>
      </c>
      <c r="D252" s="46">
        <v>8940</v>
      </c>
      <c r="E252" s="178" t="s">
        <v>59</v>
      </c>
      <c r="F252" s="47">
        <v>5500</v>
      </c>
      <c r="G252" s="249" t="s">
        <v>98</v>
      </c>
      <c r="H252" s="46">
        <v>5043</v>
      </c>
      <c r="I252" s="150"/>
      <c r="J252" s="130"/>
    </row>
    <row r="253" spans="1:10" ht="14.15" customHeight="1" x14ac:dyDescent="0.35">
      <c r="B253" s="72"/>
      <c r="C253" s="249"/>
      <c r="D253" s="46"/>
      <c r="E253" s="131"/>
      <c r="F253" s="144"/>
      <c r="G253" s="249" t="s">
        <v>99</v>
      </c>
      <c r="H253" s="46">
        <v>1506</v>
      </c>
      <c r="I253" s="150"/>
      <c r="J253" s="130"/>
    </row>
    <row r="254" spans="1:10" ht="14.15" customHeight="1" x14ac:dyDescent="0.35">
      <c r="B254" s="72"/>
      <c r="C254" s="57" t="s">
        <v>49</v>
      </c>
      <c r="D254" s="35">
        <v>71638</v>
      </c>
      <c r="E254" s="173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50"/>
      <c r="J254" s="130"/>
    </row>
    <row r="255" spans="1:10" ht="13.4" customHeight="1" x14ac:dyDescent="0.35">
      <c r="B255" s="72"/>
      <c r="C255" s="210" t="s">
        <v>129</v>
      </c>
      <c r="D255" s="178"/>
      <c r="E255" s="178"/>
      <c r="F255" s="178"/>
      <c r="G255" s="1"/>
      <c r="H255" s="178"/>
      <c r="I255" s="178"/>
      <c r="J255" s="245"/>
    </row>
    <row r="256" spans="1:10" ht="13.4" customHeight="1" x14ac:dyDescent="0.35">
      <c r="B256" s="72"/>
      <c r="C256" s="211" t="s">
        <v>119</v>
      </c>
      <c r="D256" s="1"/>
      <c r="E256" s="1"/>
      <c r="F256" s="1"/>
      <c r="G256" s="1"/>
      <c r="H256" s="1"/>
      <c r="I256" s="178"/>
      <c r="J256" s="120"/>
    </row>
    <row r="257" spans="1:10" ht="9.75" customHeight="1" x14ac:dyDescent="0.35">
      <c r="B257" s="72"/>
      <c r="C257" s="101"/>
      <c r="D257" s="1"/>
      <c r="E257" s="1"/>
      <c r="F257" s="1"/>
      <c r="G257" s="1"/>
      <c r="H257" s="1"/>
      <c r="I257" s="1"/>
      <c r="J257" s="120"/>
    </row>
    <row r="258" spans="1:10" ht="18" customHeight="1" x14ac:dyDescent="0.35">
      <c r="B258" s="72"/>
      <c r="C258" s="150"/>
      <c r="D258" s="150"/>
      <c r="E258" s="150"/>
      <c r="F258" s="150"/>
      <c r="G258" s="150"/>
      <c r="H258" s="150"/>
      <c r="I258" s="150"/>
      <c r="J258" s="130"/>
    </row>
    <row r="259" spans="1:10" ht="29.25" customHeight="1" x14ac:dyDescent="0.35">
      <c r="B259" s="232"/>
      <c r="C259" s="235" t="s">
        <v>15</v>
      </c>
      <c r="D259" s="235"/>
      <c r="E259" s="235"/>
      <c r="F259" s="235"/>
      <c r="G259" s="235"/>
      <c r="H259" s="235"/>
      <c r="I259" s="235"/>
      <c r="J259" s="239"/>
    </row>
    <row r="260" spans="1:10" ht="18.75" customHeight="1" x14ac:dyDescent="0.35">
      <c r="B260" s="198"/>
      <c r="C260" s="225"/>
      <c r="D260" s="225"/>
      <c r="E260" s="225"/>
      <c r="F260" s="225"/>
      <c r="G260" s="225"/>
      <c r="H260" s="225"/>
      <c r="I260" s="225"/>
      <c r="J260" s="13"/>
    </row>
    <row r="261" spans="1:10" ht="64.5" customHeight="1" x14ac:dyDescent="0.35">
      <c r="B261" s="72"/>
      <c r="C261" s="224" t="s">
        <v>16</v>
      </c>
      <c r="D261" s="233" t="s">
        <v>17</v>
      </c>
      <c r="E261" s="68" t="s">
        <v>137</v>
      </c>
      <c r="F261" s="224" t="s">
        <v>146</v>
      </c>
      <c r="G261" s="224" t="s">
        <v>147</v>
      </c>
      <c r="H261" s="224" t="s">
        <v>148</v>
      </c>
      <c r="I261" s="224" t="s">
        <v>149</v>
      </c>
      <c r="J261" s="130"/>
    </row>
    <row r="262" spans="1:10" ht="14.15" customHeight="1" x14ac:dyDescent="0.35">
      <c r="A262" s="219"/>
      <c r="B262" s="72"/>
      <c r="C262" s="248" t="s">
        <v>19</v>
      </c>
      <c r="D262" s="252">
        <f t="shared" ref="D262:I262" si="17">D266+D265+D264+D263</f>
        <v>24359</v>
      </c>
      <c r="E262" s="252">
        <f t="shared" si="17"/>
        <v>27736</v>
      </c>
      <c r="F262" s="254">
        <f t="shared" si="17"/>
        <v>20.338159999999998</v>
      </c>
      <c r="G262" s="254">
        <f t="shared" si="17"/>
        <v>666.18951000000004</v>
      </c>
      <c r="H262" s="254">
        <f>H266+H265+H264+H263</f>
        <v>27069.81049</v>
      </c>
      <c r="I262" s="254">
        <f t="shared" si="17"/>
        <v>3580.3420699999997</v>
      </c>
      <c r="J262" s="130"/>
    </row>
    <row r="263" spans="1:10" ht="14.15" customHeight="1" x14ac:dyDescent="0.35">
      <c r="A263" s="219"/>
      <c r="B263" s="72"/>
      <c r="C263" s="256" t="s">
        <v>102</v>
      </c>
      <c r="D263" s="257">
        <v>14132</v>
      </c>
      <c r="E263" s="257">
        <v>16670</v>
      </c>
      <c r="F263" s="258">
        <f>5.86136</f>
        <v>5.8613600000000003</v>
      </c>
      <c r="G263" s="258">
        <f>287.72199</f>
        <v>287.72199000000001</v>
      </c>
      <c r="H263" s="258">
        <f t="shared" ref="H263:H267" si="18">E263-G263</f>
        <v>16382.27801</v>
      </c>
      <c r="I263" s="258">
        <f>2952.07302</f>
        <v>2952.0730199999998</v>
      </c>
      <c r="J263" s="130"/>
    </row>
    <row r="264" spans="1:10" ht="14.15" customHeight="1" x14ac:dyDescent="0.35">
      <c r="A264" s="219"/>
      <c r="B264" s="72"/>
      <c r="C264" s="261" t="s">
        <v>21</v>
      </c>
      <c r="D264" s="257">
        <v>3678</v>
      </c>
      <c r="E264" s="257">
        <v>4339</v>
      </c>
      <c r="F264" s="258">
        <f>0</f>
        <v>0</v>
      </c>
      <c r="G264" s="258">
        <f>0</f>
        <v>0</v>
      </c>
      <c r="H264" s="258">
        <f t="shared" si="18"/>
        <v>4339</v>
      </c>
      <c r="I264" s="258">
        <f>187.7094</f>
        <v>187.70939999999999</v>
      </c>
      <c r="J264" s="130"/>
    </row>
    <row r="265" spans="1:10" ht="14.15" customHeight="1" x14ac:dyDescent="0.35">
      <c r="A265" s="219"/>
      <c r="B265" s="72"/>
      <c r="C265" s="261" t="s">
        <v>99</v>
      </c>
      <c r="D265" s="257">
        <v>1506</v>
      </c>
      <c r="E265" s="257">
        <v>1571</v>
      </c>
      <c r="F265" s="258">
        <f>12.1284</f>
        <v>12.128399999999999</v>
      </c>
      <c r="G265" s="258">
        <f>255.67472</f>
        <v>255.67472000000001</v>
      </c>
      <c r="H265" s="258">
        <f t="shared" si="18"/>
        <v>1315.32528</v>
      </c>
      <c r="I265" s="258">
        <f>423.00145</f>
        <v>423.00144999999998</v>
      </c>
      <c r="J265" s="130"/>
    </row>
    <row r="266" spans="1:10" ht="14.15" customHeight="1" x14ac:dyDescent="0.35">
      <c r="A266" s="219"/>
      <c r="B266" s="72"/>
      <c r="C266" s="263" t="s">
        <v>122</v>
      </c>
      <c r="D266" s="264">
        <v>5043</v>
      </c>
      <c r="E266" s="264">
        <v>5156</v>
      </c>
      <c r="F266" s="258">
        <f>2.3484</f>
        <v>2.3483999999999998</v>
      </c>
      <c r="G266" s="258">
        <f>122.7928</f>
        <v>122.7928</v>
      </c>
      <c r="H266" s="258">
        <f t="shared" si="18"/>
        <v>5033.2071999999998</v>
      </c>
      <c r="I266" s="258">
        <f>17.5582</f>
        <v>17.558199999999999</v>
      </c>
      <c r="J266" s="130"/>
    </row>
    <row r="267" spans="1:10" ht="14.15" customHeight="1" x14ac:dyDescent="0.35">
      <c r="A267" s="219"/>
      <c r="B267" s="72"/>
      <c r="C267" s="266" t="s">
        <v>59</v>
      </c>
      <c r="D267" s="267">
        <v>5500</v>
      </c>
      <c r="E267" s="267">
        <v>5500</v>
      </c>
      <c r="F267" s="269">
        <f>0</f>
        <v>0</v>
      </c>
      <c r="G267" s="269">
        <f>19.88</f>
        <v>19.88</v>
      </c>
      <c r="H267" s="269">
        <f t="shared" si="18"/>
        <v>5480.12</v>
      </c>
      <c r="I267" s="269">
        <f>0.971</f>
        <v>0.97099999999999997</v>
      </c>
      <c r="J267" s="130"/>
    </row>
    <row r="268" spans="1:10" ht="14.15" customHeight="1" x14ac:dyDescent="0.35">
      <c r="A268" s="219"/>
      <c r="B268" s="72"/>
      <c r="C268" s="248" t="s">
        <v>22</v>
      </c>
      <c r="D268" s="252">
        <v>8000</v>
      </c>
      <c r="E268" s="252">
        <v>8000</v>
      </c>
      <c r="F268" s="270">
        <f>F270+F269</f>
        <v>15.684530000000001</v>
      </c>
      <c r="G268" s="270">
        <f>G270+G269</f>
        <v>904.49206000000004</v>
      </c>
      <c r="H268" s="270">
        <f>E268-G268</f>
        <v>7095.5079399999995</v>
      </c>
      <c r="I268" s="270">
        <f>I270+I269</f>
        <v>1101.19355</v>
      </c>
      <c r="J268" s="130"/>
    </row>
    <row r="269" spans="1:10" ht="14.15" customHeight="1" x14ac:dyDescent="0.35">
      <c r="A269" s="219"/>
      <c r="B269" s="72"/>
      <c r="C269" s="261" t="s">
        <v>53</v>
      </c>
      <c r="D269" s="272"/>
      <c r="E269" s="257"/>
      <c r="F269" s="258">
        <f>0</f>
        <v>0</v>
      </c>
      <c r="G269" s="258">
        <f>403.55031</f>
        <v>403.55031000000002</v>
      </c>
      <c r="H269" s="258"/>
      <c r="I269" s="258">
        <f>517.07376</f>
        <v>517.07375999999999</v>
      </c>
      <c r="J269" s="130"/>
    </row>
    <row r="270" spans="1:10" ht="14.15" customHeight="1" x14ac:dyDescent="0.35">
      <c r="A270" s="219"/>
      <c r="B270" s="72"/>
      <c r="C270" s="274" t="s">
        <v>103</v>
      </c>
      <c r="D270" s="275"/>
      <c r="E270" s="278"/>
      <c r="F270" s="279">
        <f>15.68453</f>
        <v>15.684530000000001</v>
      </c>
      <c r="G270" s="279">
        <f>500.94175</f>
        <v>500.94175000000001</v>
      </c>
      <c r="H270" s="279"/>
      <c r="I270" s="279">
        <f>584.11979</f>
        <v>584.11978999999997</v>
      </c>
      <c r="J270" s="130"/>
    </row>
    <row r="271" spans="1:10" ht="14.15" customHeight="1" x14ac:dyDescent="0.35">
      <c r="A271" s="219"/>
      <c r="B271" s="72"/>
      <c r="C271" s="266" t="s">
        <v>34</v>
      </c>
      <c r="D271" s="267">
        <v>13</v>
      </c>
      <c r="E271" s="267">
        <v>13</v>
      </c>
      <c r="F271" s="269">
        <f>0.00135</f>
        <v>1.3500000000000001E-3</v>
      </c>
      <c r="G271" s="269">
        <f>0.0135</f>
        <v>1.35E-2</v>
      </c>
      <c r="H271" s="269">
        <f>E271-G271</f>
        <v>12.986499999999999</v>
      </c>
      <c r="I271" s="269">
        <f>0.0264</f>
        <v>2.64E-2</v>
      </c>
      <c r="J271" s="130"/>
    </row>
    <row r="272" spans="1:10" ht="14.15" customHeight="1" x14ac:dyDescent="0.35">
      <c r="A272" s="219"/>
      <c r="B272" s="72"/>
      <c r="C272" s="280" t="s">
        <v>104</v>
      </c>
      <c r="D272" s="283"/>
      <c r="E272" s="284"/>
      <c r="F272" s="269">
        <f>0.1026</f>
        <v>0.1026</v>
      </c>
      <c r="G272" s="269">
        <f>3.48369</f>
        <v>3.4836900000000002</v>
      </c>
      <c r="H272" s="269">
        <f>E272-G272</f>
        <v>-3.4836900000000002</v>
      </c>
      <c r="I272" s="269">
        <f>3.13076</f>
        <v>3.13076</v>
      </c>
      <c r="J272" s="130"/>
    </row>
    <row r="273" spans="1:10" ht="19.5" customHeight="1" x14ac:dyDescent="0.35">
      <c r="A273" s="219"/>
      <c r="B273" s="72"/>
      <c r="C273" s="286" t="s">
        <v>40</v>
      </c>
      <c r="D273" s="287">
        <f>D262+D267+D268+D271+D272</f>
        <v>37872</v>
      </c>
      <c r="E273" s="287">
        <f>E262+E267+E268+E271+E272</f>
        <v>41249</v>
      </c>
      <c r="F273" s="288">
        <f t="shared" ref="F273:I273" si="19">F262+F267+F268+F271+F272</f>
        <v>36.126640000000002</v>
      </c>
      <c r="G273" s="288">
        <f t="shared" si="19"/>
        <v>1594.0587600000001</v>
      </c>
      <c r="H273" s="288">
        <f>H262+H267+H268+H271+H272</f>
        <v>39654.941239999993</v>
      </c>
      <c r="I273" s="288">
        <f t="shared" si="19"/>
        <v>4685.6637799999999</v>
      </c>
      <c r="J273" s="130"/>
    </row>
    <row r="274" spans="1:10" ht="14.15" customHeight="1" x14ac:dyDescent="0.35">
      <c r="A274" s="219"/>
      <c r="B274" s="72"/>
      <c r="C274" s="161" t="s">
        <v>105</v>
      </c>
      <c r="D274" s="290"/>
      <c r="E274" s="290"/>
      <c r="F274" s="4"/>
      <c r="G274" s="4"/>
      <c r="H274" s="5"/>
      <c r="I274" s="5"/>
      <c r="J274" s="130"/>
    </row>
    <row r="275" spans="1:10" ht="14.15" customHeight="1" x14ac:dyDescent="0.35">
      <c r="A275" s="219"/>
      <c r="B275" s="72"/>
      <c r="C275" s="101" t="s">
        <v>130</v>
      </c>
      <c r="D275" s="290"/>
      <c r="E275" s="290"/>
      <c r="F275" s="4"/>
      <c r="G275" s="4"/>
      <c r="H275" s="7"/>
      <c r="I275" s="5"/>
      <c r="J275" s="130"/>
    </row>
    <row r="276" spans="1:10" ht="14.15" customHeight="1" x14ac:dyDescent="0.35">
      <c r="A276" s="219"/>
      <c r="B276" s="72"/>
      <c r="C276" s="161" t="s">
        <v>139</v>
      </c>
      <c r="D276" s="290"/>
      <c r="E276" s="290"/>
      <c r="F276" s="4"/>
      <c r="G276" s="4"/>
      <c r="H276" s="5"/>
      <c r="I276" s="7"/>
      <c r="J276" s="130"/>
    </row>
    <row r="277" spans="1:10" ht="15.75" customHeight="1" x14ac:dyDescent="0.35">
      <c r="A277" s="219"/>
      <c r="B277" s="8"/>
      <c r="C277" s="9"/>
      <c r="D277" s="107"/>
      <c r="E277" s="107"/>
      <c r="F277" s="107"/>
      <c r="G277" s="107"/>
      <c r="H277" s="107"/>
      <c r="I277" s="107"/>
      <c r="J277" s="12"/>
    </row>
    <row r="278" spans="1:10" ht="409.5" customHeight="1" x14ac:dyDescent="0.35">
      <c r="A278" s="219"/>
      <c r="B278" s="150" t="s">
        <v>112</v>
      </c>
      <c r="C278" s="14"/>
      <c r="D278" s="1"/>
      <c r="E278" s="1"/>
      <c r="F278" s="1"/>
      <c r="G278" s="1"/>
      <c r="H278" s="1"/>
      <c r="I278" s="1"/>
      <c r="J278" s="150"/>
    </row>
    <row r="279" spans="1:10" ht="28.5" customHeight="1" x14ac:dyDescent="0.35">
      <c r="A279" s="219"/>
      <c r="C279" s="150" t="s">
        <v>112</v>
      </c>
      <c r="D279" s="156"/>
    </row>
    <row r="280" spans="1:10" ht="14.15" customHeight="1" x14ac:dyDescent="0.35">
      <c r="A280" s="219"/>
      <c r="B280" s="123"/>
      <c r="C280" s="240"/>
      <c r="D280" s="17"/>
      <c r="E280" s="240"/>
      <c r="F280" s="240"/>
      <c r="G280" s="240"/>
      <c r="H280" s="240"/>
      <c r="I280" s="240"/>
      <c r="J280" s="60"/>
    </row>
    <row r="281" spans="1:10" ht="14.15" customHeight="1" x14ac:dyDescent="0.35">
      <c r="A281" s="219"/>
      <c r="B281" s="72"/>
      <c r="C281" s="220" t="s">
        <v>106</v>
      </c>
      <c r="D281" s="156"/>
      <c r="E281" s="150"/>
      <c r="G281" s="150"/>
      <c r="H281" s="150"/>
      <c r="I281" s="150"/>
      <c r="J281" s="130"/>
    </row>
    <row r="282" spans="1:10" ht="14.15" customHeight="1" x14ac:dyDescent="0.35">
      <c r="A282" s="219"/>
      <c r="B282" s="72"/>
      <c r="C282" s="150"/>
      <c r="D282" s="156"/>
      <c r="E282" s="150"/>
      <c r="G282" s="150"/>
      <c r="H282" s="150"/>
      <c r="I282" s="150"/>
      <c r="J282" s="130"/>
    </row>
    <row r="283" spans="1:10" ht="14.15" customHeight="1" x14ac:dyDescent="0.35">
      <c r="A283" s="219"/>
      <c r="B283" s="72"/>
      <c r="C283" s="149" t="s">
        <v>1</v>
      </c>
      <c r="D283" s="185"/>
      <c r="E283" s="150"/>
      <c r="F283" s="150"/>
      <c r="G283" s="150"/>
      <c r="H283" s="150"/>
      <c r="I283" s="150"/>
      <c r="J283" s="130"/>
    </row>
    <row r="284" spans="1:10" ht="14.15" customHeight="1" x14ac:dyDescent="0.35">
      <c r="A284" s="219"/>
      <c r="B284" s="72"/>
      <c r="C284" s="260" t="s">
        <v>6</v>
      </c>
      <c r="D284" s="271">
        <v>2681</v>
      </c>
      <c r="E284" s="150"/>
      <c r="F284" s="150"/>
      <c r="G284" s="150"/>
      <c r="H284" s="150"/>
      <c r="I284" s="150"/>
      <c r="J284" s="130"/>
    </row>
    <row r="285" spans="1:10" ht="14.15" customHeight="1" x14ac:dyDescent="0.35">
      <c r="A285" s="219"/>
      <c r="B285" s="72"/>
      <c r="C285" s="249" t="s">
        <v>90</v>
      </c>
      <c r="D285" s="46">
        <v>1753</v>
      </c>
      <c r="E285" s="150"/>
      <c r="G285" s="150"/>
      <c r="H285" s="150"/>
      <c r="I285" s="150"/>
      <c r="J285" s="130"/>
    </row>
    <row r="286" spans="1:10" ht="14.15" customHeight="1" x14ac:dyDescent="0.35">
      <c r="A286" s="219"/>
      <c r="B286" s="72"/>
      <c r="C286" s="249" t="s">
        <v>73</v>
      </c>
      <c r="D286" s="46">
        <v>123</v>
      </c>
      <c r="E286" s="150"/>
      <c r="F286" s="150"/>
      <c r="G286" s="150"/>
      <c r="H286" s="150"/>
      <c r="I286" s="150"/>
      <c r="J286" s="130"/>
    </row>
    <row r="287" spans="1:10" ht="14.15" customHeight="1" x14ac:dyDescent="0.35">
      <c r="A287" s="219"/>
      <c r="B287" s="72"/>
      <c r="C287" s="57" t="s">
        <v>49</v>
      </c>
      <c r="D287" s="35">
        <v>4557</v>
      </c>
      <c r="E287" s="150"/>
      <c r="F287" s="150"/>
      <c r="G287" s="150"/>
      <c r="H287" s="150"/>
      <c r="I287" s="150"/>
      <c r="J287" s="130"/>
    </row>
    <row r="288" spans="1:10" ht="14.15" customHeight="1" x14ac:dyDescent="0.35">
      <c r="A288" s="219"/>
      <c r="B288" s="72"/>
      <c r="C288" s="309" t="s">
        <v>120</v>
      </c>
      <c r="D288" s="309"/>
      <c r="E288" s="309"/>
      <c r="F288" s="309"/>
      <c r="G288" s="213"/>
      <c r="H288" s="213"/>
      <c r="I288" s="150"/>
      <c r="J288" s="130"/>
    </row>
    <row r="289" spans="1:10" ht="14.15" customHeight="1" x14ac:dyDescent="0.35">
      <c r="A289" s="219"/>
      <c r="B289" s="72"/>
      <c r="C289" s="213"/>
      <c r="D289" s="213"/>
      <c r="E289" s="213"/>
      <c r="F289" s="213"/>
      <c r="G289" s="213"/>
      <c r="H289" s="213"/>
      <c r="I289" s="150"/>
      <c r="J289" s="130"/>
    </row>
    <row r="290" spans="1:10" ht="14.15" customHeight="1" x14ac:dyDescent="0.35">
      <c r="A290" s="219"/>
      <c r="B290" s="72"/>
      <c r="C290" s="150"/>
      <c r="D290" s="156"/>
      <c r="E290" s="150"/>
      <c r="F290" s="150"/>
      <c r="G290" s="150"/>
      <c r="H290" s="150"/>
      <c r="I290" s="150"/>
      <c r="J290" s="130"/>
    </row>
    <row r="291" spans="1:10" ht="14.15" customHeight="1" x14ac:dyDescent="0.35">
      <c r="A291" s="219"/>
      <c r="B291" s="72"/>
      <c r="C291" s="150"/>
      <c r="D291" s="150"/>
      <c r="E291" s="150"/>
      <c r="F291" s="150"/>
      <c r="G291" s="150"/>
      <c r="H291" s="150"/>
      <c r="I291" s="150"/>
      <c r="J291" s="130"/>
    </row>
    <row r="292" spans="1:10" ht="29.25" customHeight="1" x14ac:dyDescent="0.35">
      <c r="A292" s="219"/>
      <c r="B292" s="232"/>
      <c r="C292" s="235" t="s">
        <v>15</v>
      </c>
      <c r="D292" s="235"/>
      <c r="E292" s="235"/>
      <c r="F292" s="235"/>
      <c r="G292" s="235"/>
      <c r="H292" s="235"/>
      <c r="I292" s="235"/>
      <c r="J292" s="239"/>
    </row>
    <row r="293" spans="1:10" ht="78" customHeight="1" x14ac:dyDescent="0.35">
      <c r="A293" s="219"/>
      <c r="B293" s="198"/>
      <c r="C293" s="20" t="s">
        <v>107</v>
      </c>
      <c r="D293" s="22" t="s">
        <v>108</v>
      </c>
      <c r="E293" s="20" t="s">
        <v>146</v>
      </c>
      <c r="F293" s="20" t="s">
        <v>147</v>
      </c>
      <c r="G293" s="25" t="s">
        <v>148</v>
      </c>
      <c r="H293" s="20" t="s">
        <v>149</v>
      </c>
      <c r="I293" s="225"/>
      <c r="J293" s="13"/>
    </row>
    <row r="294" spans="1:10" ht="14.15" customHeight="1" x14ac:dyDescent="0.35">
      <c r="A294" s="219"/>
      <c r="B294" s="72"/>
      <c r="C294" s="266" t="s">
        <v>109</v>
      </c>
      <c r="D294" s="203">
        <v>894</v>
      </c>
      <c r="E294" s="26">
        <f>SUM(E295:E296)</f>
        <v>0</v>
      </c>
      <c r="F294" s="26">
        <f>SUM(F295:F296)</f>
        <v>1023.20588</v>
      </c>
      <c r="G294" s="85">
        <f>D294-F294</f>
        <v>-129.20587999999998</v>
      </c>
      <c r="H294" s="26">
        <f>SUM(H295:H296)</f>
        <v>988.40122999999994</v>
      </c>
      <c r="I294" s="27"/>
      <c r="J294" s="130"/>
    </row>
    <row r="295" spans="1:10" ht="14.15" customHeight="1" x14ac:dyDescent="0.35">
      <c r="A295" s="219"/>
      <c r="B295" s="72"/>
      <c r="C295" s="29" t="s">
        <v>8</v>
      </c>
      <c r="E295" s="204">
        <f>0</f>
        <v>0</v>
      </c>
      <c r="F295" s="204">
        <f>778.94708</f>
        <v>778.94708000000003</v>
      </c>
      <c r="G295" s="205"/>
      <c r="H295" s="204">
        <f>753.71223</f>
        <v>753.71222999999998</v>
      </c>
      <c r="I295" s="150"/>
      <c r="J295" s="130"/>
    </row>
    <row r="296" spans="1:10" ht="14.15" customHeight="1" x14ac:dyDescent="0.35">
      <c r="A296" s="219"/>
      <c r="B296" s="72"/>
      <c r="C296" s="29" t="s">
        <v>11</v>
      </c>
      <c r="D296" s="206"/>
      <c r="E296" s="207">
        <f>0</f>
        <v>0</v>
      </c>
      <c r="F296" s="207">
        <f>244.2588</f>
        <v>244.25880000000001</v>
      </c>
      <c r="G296" s="208"/>
      <c r="H296" s="207">
        <f>234.689</f>
        <v>234.68899999999999</v>
      </c>
      <c r="I296" s="150"/>
      <c r="J296" s="130"/>
    </row>
    <row r="297" spans="1:10" ht="14.15" customHeight="1" x14ac:dyDescent="0.35">
      <c r="A297" s="219"/>
      <c r="B297" s="72"/>
      <c r="C297" s="266" t="s">
        <v>110</v>
      </c>
      <c r="D297" s="10">
        <v>894</v>
      </c>
      <c r="E297" s="26">
        <f>SUM(E298:E299)</f>
        <v>0</v>
      </c>
      <c r="F297" s="26">
        <f>SUM(F298:F299)</f>
        <v>988.67975000000001</v>
      </c>
      <c r="G297" s="85">
        <f>D297-F297</f>
        <v>-94.679750000000013</v>
      </c>
      <c r="H297" s="26">
        <f>SUM(H298:H299)</f>
        <v>1222.0429799999999</v>
      </c>
      <c r="I297" s="27"/>
      <c r="J297" s="130"/>
    </row>
    <row r="298" spans="1:10" ht="14.15" customHeight="1" x14ac:dyDescent="0.35">
      <c r="A298" s="219"/>
      <c r="B298" s="72"/>
      <c r="C298" s="29" t="s">
        <v>8</v>
      </c>
      <c r="D298" s="42"/>
      <c r="E298" s="30">
        <f>0</f>
        <v>0</v>
      </c>
      <c r="F298" s="30">
        <f>767.16523</f>
        <v>767.16522999999995</v>
      </c>
      <c r="G298" s="97"/>
      <c r="H298" s="30">
        <f>982.54229</f>
        <v>982.54228999999998</v>
      </c>
      <c r="I298" s="150"/>
      <c r="J298" s="130"/>
    </row>
    <row r="299" spans="1:10" ht="14.15" customHeight="1" x14ac:dyDescent="0.35">
      <c r="A299" s="219"/>
      <c r="B299" s="72"/>
      <c r="C299" s="29" t="s">
        <v>11</v>
      </c>
      <c r="D299" s="222"/>
      <c r="E299" s="30">
        <f>0</f>
        <v>0</v>
      </c>
      <c r="F299" s="30">
        <f>221.51452</f>
        <v>221.51452</v>
      </c>
      <c r="G299" s="108"/>
      <c r="H299" s="30">
        <f>239.50069</f>
        <v>239.50068999999999</v>
      </c>
      <c r="I299" s="150"/>
      <c r="J299" s="130"/>
    </row>
    <row r="300" spans="1:10" ht="14.15" customHeight="1" x14ac:dyDescent="0.35">
      <c r="A300" s="219"/>
      <c r="B300" s="72"/>
      <c r="C300" s="266" t="s">
        <v>111</v>
      </c>
      <c r="D300" s="10">
        <v>893</v>
      </c>
      <c r="E300" s="36">
        <f>SUM(E301:E302)</f>
        <v>63.433999999999997</v>
      </c>
      <c r="F300" s="36">
        <f>SUM(F301:F302)</f>
        <v>72.501000000000005</v>
      </c>
      <c r="G300" s="85">
        <f>D300-F300</f>
        <v>820.49900000000002</v>
      </c>
      <c r="H300" s="36">
        <f>SUM(H301:H302)</f>
        <v>86.061130000000006</v>
      </c>
      <c r="I300" s="150"/>
      <c r="J300" s="130"/>
    </row>
    <row r="301" spans="1:10" ht="14.15" customHeight="1" x14ac:dyDescent="0.35">
      <c r="A301" s="219"/>
      <c r="B301" s="72"/>
      <c r="C301" s="29" t="s">
        <v>8</v>
      </c>
      <c r="D301" s="42"/>
      <c r="E301" s="30">
        <f>58.2925</f>
        <v>58.292499999999997</v>
      </c>
      <c r="F301" s="30">
        <f>65.9995</f>
        <v>65.999499999999998</v>
      </c>
      <c r="G301" s="97"/>
      <c r="H301" s="30">
        <f>63.3992</f>
        <v>63.3992</v>
      </c>
      <c r="I301" s="150"/>
      <c r="J301" s="130"/>
    </row>
    <row r="302" spans="1:10" ht="14.15" customHeight="1" x14ac:dyDescent="0.35">
      <c r="A302" s="219"/>
      <c r="B302" s="72"/>
      <c r="C302" s="29" t="s">
        <v>11</v>
      </c>
      <c r="D302" s="222"/>
      <c r="E302" s="30">
        <f>5.1415</f>
        <v>5.1414999999999997</v>
      </c>
      <c r="F302" s="30">
        <f>6.5015</f>
        <v>6.5015000000000001</v>
      </c>
      <c r="G302" s="108"/>
      <c r="H302" s="30">
        <f>22.66193</f>
        <v>22.661930000000002</v>
      </c>
      <c r="I302" s="150"/>
      <c r="J302" s="130"/>
    </row>
    <row r="303" spans="1:10" ht="14.15" customHeight="1" x14ac:dyDescent="0.35">
      <c r="A303" s="219"/>
      <c r="B303" s="72"/>
      <c r="C303" s="280" t="s">
        <v>94</v>
      </c>
      <c r="D303" s="37"/>
      <c r="E303" s="94">
        <f>0</f>
        <v>0</v>
      </c>
      <c r="F303" s="94">
        <f>0</f>
        <v>0</v>
      </c>
      <c r="G303" s="94">
        <f>D303-F303</f>
        <v>0</v>
      </c>
      <c r="H303" s="94">
        <f>0</f>
        <v>0</v>
      </c>
      <c r="I303" s="150"/>
      <c r="J303" s="130"/>
    </row>
    <row r="304" spans="1:10" ht="14.15" customHeight="1" x14ac:dyDescent="0.35">
      <c r="A304" s="219"/>
      <c r="B304" s="72"/>
      <c r="C304" s="286" t="s">
        <v>86</v>
      </c>
      <c r="D304" s="39">
        <f>D294+D297+D300</f>
        <v>2681</v>
      </c>
      <c r="E304" s="40">
        <f>E294+E297+E300+E303</f>
        <v>63.433999999999997</v>
      </c>
      <c r="F304" s="40">
        <f>F294+F297+F300+F303</f>
        <v>2084.38663</v>
      </c>
      <c r="G304" s="41">
        <f>D304-F304</f>
        <v>596.61337000000003</v>
      </c>
      <c r="H304" s="40">
        <f>H294+H297+H300+H303</f>
        <v>2296.5053399999997</v>
      </c>
      <c r="I304" s="27"/>
      <c r="J304" s="130"/>
    </row>
    <row r="305" spans="1:10" ht="42" customHeight="1" x14ac:dyDescent="0.35">
      <c r="A305" s="219"/>
      <c r="B305" s="72"/>
      <c r="C305" s="302" t="s">
        <v>115</v>
      </c>
      <c r="D305" s="302"/>
      <c r="E305" s="302"/>
      <c r="F305" s="302"/>
      <c r="G305" s="302"/>
      <c r="H305" s="302"/>
      <c r="I305" s="302"/>
      <c r="J305" s="303"/>
    </row>
    <row r="306" spans="1:10" ht="14.15" customHeight="1" x14ac:dyDescent="0.35">
      <c r="A306" s="219"/>
      <c r="B306" s="8"/>
      <c r="C306" s="209"/>
      <c r="D306" s="199"/>
      <c r="E306" s="209"/>
      <c r="F306" s="209"/>
      <c r="G306" s="209"/>
      <c r="H306" s="209"/>
      <c r="I306" s="209"/>
      <c r="J306" s="12"/>
    </row>
    <row r="307" spans="1:10" ht="0" hidden="1" customHeight="1" x14ac:dyDescent="0.35"/>
    <row r="308" spans="1:10" ht="0" hidden="1" customHeight="1" x14ac:dyDescent="0.35"/>
    <row r="309" spans="1:10" ht="0" hidden="1" customHeight="1" x14ac:dyDescent="0.35"/>
    <row r="310" spans="1:10" ht="0" hidden="1" customHeight="1" x14ac:dyDescent="0.35"/>
    <row r="311" spans="1:10" ht="0" hidden="1" customHeight="1" x14ac:dyDescent="0.35"/>
    <row r="312" spans="1:10" ht="0" hidden="1" customHeight="1" x14ac:dyDescent="0.35"/>
    <row r="313" spans="1:10" ht="0" hidden="1" customHeight="1" x14ac:dyDescent="0.35"/>
    <row r="314" spans="1:10" ht="0" hidden="1" customHeight="1" x14ac:dyDescent="0.35"/>
    <row r="315" spans="1:10" ht="0" hidden="1" customHeight="1" x14ac:dyDescent="0.35"/>
    <row r="316" spans="1:10" ht="0" hidden="1" customHeight="1" x14ac:dyDescent="0.35"/>
    <row r="317" spans="1:10" ht="0" hidden="1" customHeight="1" x14ac:dyDescent="0.35"/>
    <row r="318" spans="1:10" ht="0" hidden="1" customHeight="1" x14ac:dyDescent="0.35"/>
    <row r="319" spans="1:10" ht="0" hidden="1" customHeight="1" x14ac:dyDescent="0.35"/>
    <row r="320" spans="1:10" ht="0" hidden="1" customHeight="1" x14ac:dyDescent="0.35"/>
    <row r="321" ht="0" hidden="1" customHeight="1" x14ac:dyDescent="0.35"/>
    <row r="322" ht="0" hidden="1" customHeight="1" x14ac:dyDescent="0.35"/>
    <row r="323" ht="0" hidden="1" customHeight="1" x14ac:dyDescent="0.35"/>
    <row r="324" ht="0" hidden="1" customHeight="1" x14ac:dyDescent="0.35"/>
    <row r="325" ht="0" hidden="1" customHeight="1" x14ac:dyDescent="0.35"/>
    <row r="326" ht="0" hidden="1" customHeight="1" x14ac:dyDescent="0.35"/>
    <row r="327" ht="0" hidden="1" customHeight="1" x14ac:dyDescent="0.35"/>
    <row r="328" ht="0" hidden="1" customHeight="1" x14ac:dyDescent="0.35"/>
    <row r="329" ht="0" hidden="1" customHeight="1" x14ac:dyDescent="0.35"/>
    <row r="330" ht="0" hidden="1" customHeight="1" x14ac:dyDescent="0.35"/>
    <row r="331" ht="0" hidden="1" customHeight="1" x14ac:dyDescent="0.35"/>
    <row r="332" ht="0" hidden="1" customHeight="1" x14ac:dyDescent="0.35"/>
    <row r="333" ht="0" hidden="1" customHeight="1" x14ac:dyDescent="0.35"/>
    <row r="334" ht="0" hidden="1" customHeight="1" x14ac:dyDescent="0.35"/>
    <row r="335" ht="0" hidden="1" customHeight="1" x14ac:dyDescent="0.35"/>
    <row r="336" ht="0" hidden="1" customHeight="1" x14ac:dyDescent="0.35"/>
    <row r="337" ht="0" hidden="1" customHeight="1" x14ac:dyDescent="0.35"/>
    <row r="338" ht="0" hidden="1" customHeight="1" x14ac:dyDescent="0.35"/>
    <row r="339" ht="0" hidden="1" customHeight="1" x14ac:dyDescent="0.35"/>
    <row r="340" ht="0" hidden="1" customHeight="1" x14ac:dyDescent="0.35"/>
    <row r="341" ht="0" hidden="1" customHeight="1" x14ac:dyDescent="0.35"/>
    <row r="342" ht="0" hidden="1" customHeight="1" x14ac:dyDescent="0.35"/>
    <row r="343" ht="0" hidden="1" customHeight="1" x14ac:dyDescent="0.35"/>
    <row r="344" ht="0" hidden="1" customHeight="1" x14ac:dyDescent="0.35"/>
    <row r="345" ht="0" hidden="1" customHeight="1" x14ac:dyDescent="0.35"/>
    <row r="346" ht="0" hidden="1" customHeight="1" x14ac:dyDescent="0.35"/>
    <row r="347" ht="0" hidden="1" customHeight="1" x14ac:dyDescent="0.35"/>
    <row r="348" ht="0" hidden="1" customHeight="1" x14ac:dyDescent="0.35"/>
    <row r="349" ht="0" hidden="1" customHeight="1" x14ac:dyDescent="0.35"/>
    <row r="350" ht="0" hidden="1" customHeight="1" x14ac:dyDescent="0.35"/>
    <row r="351" ht="0" hidden="1" customHeight="1" x14ac:dyDescent="0.35"/>
    <row r="352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16.5" customHeight="1" x14ac:dyDescent="0.35"/>
    <row r="65491" ht="16.5" customHeight="1" x14ac:dyDescent="0.35"/>
  </sheetData>
  <mergeCells count="15"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10&amp;R10.03.2025</oddHeader>
    <oddFooter>&amp;LFiskeridirektoratet&amp;CSeksjon fiskeriregulering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2025-03-11T08:37:43Z</dcterms:modified>
</cp:coreProperties>
</file>