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Downloads\"/>
    </mc:Choice>
  </mc:AlternateContent>
  <xr:revisionPtr revIDLastSave="0" documentId="13_ncr:1_{415EFB05-1934-43D6-ACCA-F030110BE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19" i="1" l="1"/>
  <c r="F419" i="1"/>
  <c r="E419" i="1"/>
  <c r="H418" i="1"/>
  <c r="F418" i="1"/>
  <c r="E418" i="1"/>
  <c r="E417" i="1" s="1"/>
  <c r="H417" i="1"/>
  <c r="F417" i="1"/>
  <c r="H416" i="1"/>
  <c r="F416" i="1"/>
  <c r="E416" i="1"/>
  <c r="H415" i="1"/>
  <c r="F415" i="1"/>
  <c r="E415" i="1"/>
  <c r="E414" i="1" s="1"/>
  <c r="H414" i="1"/>
  <c r="F414" i="1"/>
  <c r="H413" i="1"/>
  <c r="F413" i="1"/>
  <c r="E413" i="1"/>
  <c r="H412" i="1"/>
  <c r="F412" i="1"/>
  <c r="E412" i="1"/>
  <c r="E411" i="1" s="1"/>
  <c r="E421" i="1" s="1"/>
  <c r="H411" i="1"/>
  <c r="H421" i="1" s="1"/>
  <c r="F411" i="1"/>
  <c r="F421" i="1" s="1"/>
  <c r="D389" i="1"/>
  <c r="I388" i="1"/>
  <c r="G388" i="1"/>
  <c r="H388" i="1" s="1"/>
  <c r="F388" i="1"/>
  <c r="I387" i="1"/>
  <c r="G387" i="1"/>
  <c r="H387" i="1" s="1"/>
  <c r="F387" i="1"/>
  <c r="I386" i="1"/>
  <c r="I384" i="1" s="1"/>
  <c r="G386" i="1"/>
  <c r="F386" i="1"/>
  <c r="F384" i="1" s="1"/>
  <c r="I385" i="1"/>
  <c r="G385" i="1"/>
  <c r="F385" i="1"/>
  <c r="H384" i="1"/>
  <c r="G384" i="1"/>
  <c r="I383" i="1"/>
  <c r="G383" i="1"/>
  <c r="H383" i="1" s="1"/>
  <c r="F383" i="1"/>
  <c r="I382" i="1"/>
  <c r="H382" i="1"/>
  <c r="G382" i="1"/>
  <c r="F382" i="1"/>
  <c r="I381" i="1"/>
  <c r="I378" i="1" s="1"/>
  <c r="G381" i="1"/>
  <c r="H381" i="1" s="1"/>
  <c r="H378" i="1" s="1"/>
  <c r="H389" i="1" s="1"/>
  <c r="F381" i="1"/>
  <c r="F378" i="1" s="1"/>
  <c r="F389" i="1" s="1"/>
  <c r="I380" i="1"/>
  <c r="H380" i="1"/>
  <c r="G380" i="1"/>
  <c r="F380" i="1"/>
  <c r="I379" i="1"/>
  <c r="G379" i="1"/>
  <c r="H379" i="1" s="1"/>
  <c r="F379" i="1"/>
  <c r="G378" i="1"/>
  <c r="G389" i="1" s="1"/>
  <c r="E378" i="1"/>
  <c r="E389" i="1" s="1"/>
  <c r="D378" i="1"/>
  <c r="H370" i="1"/>
  <c r="F370" i="1"/>
  <c r="D352" i="1"/>
  <c r="H351" i="1"/>
  <c r="F351" i="1"/>
  <c r="E351" i="1"/>
  <c r="H350" i="1"/>
  <c r="G350" i="1"/>
  <c r="F350" i="1"/>
  <c r="E350" i="1"/>
  <c r="H349" i="1"/>
  <c r="F349" i="1"/>
  <c r="G349" i="1" s="1"/>
  <c r="E349" i="1"/>
  <c r="H348" i="1"/>
  <c r="H352" i="1" s="1"/>
  <c r="G348" i="1"/>
  <c r="F348" i="1"/>
  <c r="F352" i="1" s="1"/>
  <c r="G352" i="1" s="1"/>
  <c r="E348" i="1"/>
  <c r="E352" i="1" s="1"/>
  <c r="D341" i="1"/>
  <c r="H296" i="1"/>
  <c r="F296" i="1"/>
  <c r="E296" i="1"/>
  <c r="H295" i="1"/>
  <c r="F295" i="1"/>
  <c r="E295" i="1"/>
  <c r="H294" i="1"/>
  <c r="H297" i="1" s="1"/>
  <c r="F294" i="1"/>
  <c r="F297" i="1" s="1"/>
  <c r="G297" i="1" s="1"/>
  <c r="E294" i="1"/>
  <c r="E297" i="1" s="1"/>
  <c r="E252" i="1"/>
  <c r="H251" i="1"/>
  <c r="F251" i="1"/>
  <c r="E251" i="1"/>
  <c r="H250" i="1"/>
  <c r="F250" i="1"/>
  <c r="E250" i="1"/>
  <c r="H249" i="1"/>
  <c r="H252" i="1" s="1"/>
  <c r="F249" i="1"/>
  <c r="F252" i="1" s="1"/>
  <c r="G252" i="1" s="1"/>
  <c r="E249" i="1"/>
  <c r="F207" i="1"/>
  <c r="G207" i="1" s="1"/>
  <c r="D207" i="1"/>
  <c r="G206" i="1"/>
  <c r="H205" i="1"/>
  <c r="F205" i="1"/>
  <c r="G205" i="1" s="1"/>
  <c r="E205" i="1"/>
  <c r="H204" i="1"/>
  <c r="H207" i="1" s="1"/>
  <c r="G204" i="1"/>
  <c r="F204" i="1"/>
  <c r="E204" i="1"/>
  <c r="E207" i="1" s="1"/>
  <c r="D184" i="1"/>
  <c r="H182" i="1"/>
  <c r="F182" i="1"/>
  <c r="G182" i="1" s="1"/>
  <c r="E182" i="1"/>
  <c r="H181" i="1"/>
  <c r="F181" i="1"/>
  <c r="E181" i="1"/>
  <c r="E178" i="1" s="1"/>
  <c r="H180" i="1"/>
  <c r="F180" i="1"/>
  <c r="E180" i="1"/>
  <c r="H179" i="1"/>
  <c r="H178" i="1" s="1"/>
  <c r="H184" i="1" s="1"/>
  <c r="F179" i="1"/>
  <c r="E179" i="1"/>
  <c r="F178" i="1"/>
  <c r="G178" i="1" s="1"/>
  <c r="H177" i="1"/>
  <c r="F177" i="1"/>
  <c r="G177" i="1" s="1"/>
  <c r="E177" i="1"/>
  <c r="H176" i="1"/>
  <c r="F176" i="1"/>
  <c r="E176" i="1"/>
  <c r="H175" i="1"/>
  <c r="F175" i="1"/>
  <c r="F184" i="1" s="1"/>
  <c r="E175" i="1"/>
  <c r="E184" i="1" s="1"/>
  <c r="D150" i="1"/>
  <c r="I148" i="1"/>
  <c r="G148" i="1"/>
  <c r="F148" i="1"/>
  <c r="I147" i="1"/>
  <c r="G147" i="1"/>
  <c r="H147" i="1" s="1"/>
  <c r="F147" i="1"/>
  <c r="H146" i="1"/>
  <c r="H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H139" i="1" s="1"/>
  <c r="G140" i="1"/>
  <c r="G139" i="1" s="1"/>
  <c r="F140" i="1"/>
  <c r="F139" i="1" s="1"/>
  <c r="F133" i="1" s="1"/>
  <c r="I139" i="1"/>
  <c r="E139" i="1"/>
  <c r="I138" i="1"/>
  <c r="I134" i="1" s="1"/>
  <c r="I133" i="1" s="1"/>
  <c r="H138" i="1"/>
  <c r="F138" i="1"/>
  <c r="I137" i="1"/>
  <c r="H137" i="1"/>
  <c r="F137" i="1"/>
  <c r="I136" i="1"/>
  <c r="H136" i="1"/>
  <c r="F136" i="1"/>
  <c r="I135" i="1"/>
  <c r="H135" i="1"/>
  <c r="F135" i="1"/>
  <c r="G134" i="1"/>
  <c r="F134" i="1"/>
  <c r="E134" i="1"/>
  <c r="E133" i="1" s="1"/>
  <c r="I132" i="1"/>
  <c r="H132" i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F128" i="1" s="1"/>
  <c r="F150" i="1" s="1"/>
  <c r="I128" i="1"/>
  <c r="I150" i="1" s="1"/>
  <c r="E128" i="1"/>
  <c r="E150" i="1" s="1"/>
  <c r="C126" i="1"/>
  <c r="H106" i="1"/>
  <c r="I105" i="1"/>
  <c r="H105" i="1"/>
  <c r="G105" i="1"/>
  <c r="F105" i="1"/>
  <c r="H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H96" i="1" s="1"/>
  <c r="H95" i="1" s="1"/>
  <c r="G97" i="1"/>
  <c r="G96" i="1" s="1"/>
  <c r="G95" i="1" s="1"/>
  <c r="G107" i="1" s="1"/>
  <c r="F97" i="1"/>
  <c r="F96" i="1" s="1"/>
  <c r="F95" i="1" s="1"/>
  <c r="F107" i="1" s="1"/>
  <c r="I96" i="1"/>
  <c r="I95" i="1" s="1"/>
  <c r="E96" i="1"/>
  <c r="E95" i="1" s="1"/>
  <c r="E107" i="1" s="1"/>
  <c r="D96" i="1"/>
  <c r="D95" i="1" s="1"/>
  <c r="D107" i="1" s="1"/>
  <c r="I94" i="1"/>
  <c r="H94" i="1"/>
  <c r="G94" i="1"/>
  <c r="F94" i="1"/>
  <c r="I93" i="1"/>
  <c r="I92" i="1" s="1"/>
  <c r="H93" i="1"/>
  <c r="G93" i="1"/>
  <c r="F93" i="1"/>
  <c r="H92" i="1"/>
  <c r="G92" i="1"/>
  <c r="F92" i="1"/>
  <c r="E92" i="1"/>
  <c r="C89" i="1"/>
  <c r="H85" i="1"/>
  <c r="F85" i="1"/>
  <c r="D85" i="1"/>
  <c r="G61" i="1"/>
  <c r="G60" i="1"/>
  <c r="H55" i="1"/>
  <c r="I32" i="1" s="1"/>
  <c r="F55" i="1"/>
  <c r="G55" i="1" s="1"/>
  <c r="E55" i="1"/>
  <c r="E44" i="1"/>
  <c r="D44" i="1"/>
  <c r="H43" i="1"/>
  <c r="H42" i="1"/>
  <c r="I41" i="1"/>
  <c r="G41" i="1"/>
  <c r="H41" i="1" s="1"/>
  <c r="F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I34" i="1" s="1"/>
  <c r="G35" i="1"/>
  <c r="H35" i="1" s="1"/>
  <c r="F35" i="1"/>
  <c r="F34" i="1" s="1"/>
  <c r="I33" i="1"/>
  <c r="G33" i="1"/>
  <c r="H33" i="1" s="1"/>
  <c r="F33" i="1"/>
  <c r="G32" i="1"/>
  <c r="H32" i="1" s="1"/>
  <c r="F32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F27" i="1"/>
  <c r="I25" i="1"/>
  <c r="G25" i="1"/>
  <c r="H25" i="1" s="1"/>
  <c r="F25" i="1"/>
  <c r="I24" i="1"/>
  <c r="I23" i="1" s="1"/>
  <c r="G24" i="1"/>
  <c r="H24" i="1" s="1"/>
  <c r="F24" i="1"/>
  <c r="G23" i="1"/>
  <c r="F23" i="1"/>
  <c r="H16" i="1"/>
  <c r="F16" i="1"/>
  <c r="D16" i="1"/>
  <c r="G133" i="1" l="1"/>
  <c r="F26" i="1"/>
  <c r="I27" i="1"/>
  <c r="I26" i="1" s="1"/>
  <c r="I44" i="1" s="1"/>
  <c r="I107" i="1"/>
  <c r="H134" i="1"/>
  <c r="H133" i="1" s="1"/>
  <c r="H23" i="1"/>
  <c r="H128" i="1"/>
  <c r="I389" i="1"/>
  <c r="F44" i="1"/>
  <c r="G184" i="1"/>
  <c r="H107" i="1"/>
  <c r="H27" i="1"/>
  <c r="G128" i="1"/>
  <c r="G175" i="1"/>
  <c r="G34" i="1"/>
  <c r="G27" i="1"/>
  <c r="H150" i="1" l="1"/>
  <c r="G150" i="1"/>
  <c r="G26" i="1"/>
  <c r="G44" i="1" s="1"/>
  <c r="H34" i="1"/>
  <c r="H26" i="1" s="1"/>
  <c r="H44" i="1" s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<sst xmlns="http://schemas.openxmlformats.org/spreadsheetml/2006/main" count="358" uniqueCount="150">
  <si>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</si>
  <si>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</si>
  <si>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</si>
  <si>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</si>
  <si>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</si>
  <si>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</si>
  <si>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</si>
  <si>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</si>
  <si>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</si>
  <si>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</si>
  <si>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</si>
  <si>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</si>
  <si>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</si>
  <si>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</si>
  <si>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</si>
  <si>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</si>
  <si>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</si>
  <si>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</si>
  <si>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</si>
  <si>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</si>
  <si>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</si>
  <si>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</si>
  <si>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</si>
  <si>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</si>
  <si>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</si>
  <si>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</si>
  <si>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</si>
  <si>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</si>
  <si>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</si>
  <si>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</si>
  <si>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</si>
  <si>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</si>
  <si>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</si>
  <si>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</si>
  <si>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</si>
  <si>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</si>
  <si>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</si>
  <si>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</si>
  <si>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</si>
  <si>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</si>
  <si>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</si>
  <si>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</si>
  <si>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</si>
  <si>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</si>
  <si>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</si>
  <si>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</si>
  <si>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</si>
  <si>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</si>
  <si>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</si>
  <si>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</si>
  <si>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</si>
  <si>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</si>
  <si>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</si>
  <si>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</si>
  <si>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</si>
  <si>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</si>
  <si>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</si>
  <si>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</si>
  <si>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</si>
  <si>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</si>
  <si>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</si>
  <si>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</si>
  <si>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</si>
  <si>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</si>
  <si>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</si>
  <si>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</si>
  <si>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</si>
  <si>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</si>
  <si>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</si>
  <si>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</si>
  <si>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</si>
  <si>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</si>
  <si>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</si>
  <si>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</si>
  <si>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</si>
  <si>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</si>
  <si>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</si>
  <si>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</si>
  <si>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</si>
  <si>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</si>
  <si>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</si>
  <si>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</si>
  <si>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</si>
  <si>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</si>
  <si>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</si>
  <si>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</si>
  <si>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</si>
  <si>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</si>
  <si>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</si>
  <si>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</si>
  <si>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</si>
  <si>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</si>
  <si>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</si>
  <si>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</si>
  <si>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</si>
  <si>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</si>
  <si>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</si>
  <si>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</si>
  <si>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</si>
  <si>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</si>
  <si>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</si>
  <si>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</si>
  <si>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</si>
  <si>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</si>
  <si>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</si>
  <si>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</si>
  <si>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</si>
  <si>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</si>
  <si>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</si>
  <si>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</si>
  <si>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</si>
  <si>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</si>
  <si>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</si>
  <si>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</si>
  <si>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</si>
  <si>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</si>
  <si>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</si>
  <si>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</si>
  <si>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</si>
  <si>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</si>
  <si>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</si>
  <si>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</si>
  <si>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</si>
  <si>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</si>
  <si>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</si>
  <si>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</si>
  <si>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</si>
  <si>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</si>
  <si>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</si>
  <si>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</si>
  <si>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</si>
  <si>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</si>
  <si>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</si>
  <si>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</si>
  <si>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</si>
  <si>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</si>
  <si>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</si>
  <si>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</si>
  <si>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</si>
  <si>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</si>
  <si>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t>Grunnet endringer i reguleringen, er fangstene ikke avregnet periodekvoter. Fangsttallene gjelder for hele 2023.</t>
  </si>
  <si>
    <t>Statistikk i henhold til ny regulering kommer på et senere tidspunkt.</t>
  </si>
  <si>
    <t>FANGST UKE 44</t>
  </si>
  <si>
    <t>FANGST T.O.M UKE 44</t>
  </si>
  <si>
    <t>RESTKVOTER UKE 44</t>
  </si>
  <si>
    <t>FANGST T.O.M UKE 44 2022</t>
  </si>
  <si>
    <r>
      <t xml:space="preserve">3 </t>
    </r>
    <r>
      <rPr>
        <sz val="9"/>
        <color indexed="8"/>
        <rFont val="Calibri"/>
        <family val="2"/>
      </rPr>
      <t>Registrert rekreasjonsfiske utgjør 721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</si>
  <si>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68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</si>
  <si>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681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</si>
  <si>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7 112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</si>
</sst>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showWhiteSpace="0" view="pageLayout" zoomScale="85" zoomScaleNormal="85" zoomScaleSheetLayoutView="100" zoomScalePageLayoutView="85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139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135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2028.0269999999998</v>
      </c>
      <c r="G23" s="28">
        <f t="shared" si="0"/>
        <v>68393.61755000001</v>
      </c>
      <c r="H23" s="11">
        <f t="shared" si="0"/>
        <v>18433.382449999997</v>
      </c>
      <c r="I23" s="11">
        <f t="shared" si="0"/>
        <v>85718.589600000007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2020.7685</f>
        <v>2020.7684999999999</v>
      </c>
      <c r="G24" s="23">
        <f>67827.7792</f>
        <v>67827.779200000004</v>
      </c>
      <c r="H24" s="23">
        <f>E24-G24</f>
        <v>18217.220799999996</v>
      </c>
      <c r="I24" s="23">
        <f>85135.5133</f>
        <v>85135.513300000006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7.2585</f>
        <v>7.2584999999999997</v>
      </c>
      <c r="G25" s="23">
        <f>565.83835</f>
        <v>565.83834999999999</v>
      </c>
      <c r="H25" s="23">
        <f>E25-G25</f>
        <v>216.16165000000001</v>
      </c>
      <c r="I25" s="23">
        <f>583.0763</f>
        <v>583.07629999999995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1556.7495699999999</v>
      </c>
      <c r="G26" s="11">
        <f t="shared" si="1"/>
        <v>180621.78761</v>
      </c>
      <c r="H26" s="11">
        <f t="shared" si="1"/>
        <v>16948.212390000001</v>
      </c>
      <c r="I26" s="11">
        <f t="shared" si="1"/>
        <v>220732.05554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873.19148999999993</v>
      </c>
      <c r="G27" s="134">
        <f t="shared" ref="G27:I27" si="2">G28+G29+G30+G31+G32</f>
        <v>141641.43381000002</v>
      </c>
      <c r="H27" s="134">
        <f t="shared" si="2"/>
        <v>11009.566190000001</v>
      </c>
      <c r="I27" s="134">
        <f t="shared" si="2"/>
        <v>177768.05429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175.93297</f>
        <v>175.93297000000001</v>
      </c>
      <c r="G28" s="129">
        <f>37872.34777 - F57</f>
        <v>35569.34777</v>
      </c>
      <c r="H28" s="129">
        <f t="shared" ref="H28:H40" si="3">E28-G28</f>
        <v>3979.6522299999997</v>
      </c>
      <c r="I28" s="129">
        <f>44428.43142 - H57</f>
        <v>41427.431420000001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337.68316</f>
        <v>337.68315999999999</v>
      </c>
      <c r="G29" s="129">
        <f>40904.89894 - F58</f>
        <v>38371.898939999999</v>
      </c>
      <c r="H29" s="129">
        <f t="shared" si="3"/>
        <v>2392.1010600000009</v>
      </c>
      <c r="I29" s="129">
        <f>49893.82957 - H58</f>
        <v>47771.829570000002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76.1786</f>
        <v>76.178600000000003</v>
      </c>
      <c r="G30" s="129">
        <f>37297.70082 - F59</f>
        <v>36112.700819999998</v>
      </c>
      <c r="H30" s="129">
        <f t="shared" si="3"/>
        <v>1154.2991800000018</v>
      </c>
      <c r="I30" s="129">
        <f>48419.68215 - H59</f>
        <v>47170.682150000001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0.39676</f>
        <v>0.39676</v>
      </c>
      <c r="G31" s="129">
        <f>25222.48628 - F60</f>
        <v>24455.486280000001</v>
      </c>
      <c r="H31" s="129">
        <f t="shared" si="3"/>
        <v>951.51371999999901</v>
      </c>
      <c r="I31" s="129">
        <f>34380.11115 - H60</f>
        <v>33696.111149999997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283</v>
      </c>
      <c r="G32" s="129">
        <f>F55</f>
        <v>7132</v>
      </c>
      <c r="H32" s="129">
        <f t="shared" si="3"/>
        <v>2532</v>
      </c>
      <c r="I32" s="129">
        <f>H55</f>
        <v>7702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506.01506</f>
        <v>506.01506000000001</v>
      </c>
      <c r="G33" s="134">
        <f>17564.04467</f>
        <v>17564.044669999999</v>
      </c>
      <c r="H33" s="134">
        <f t="shared" si="3"/>
        <v>6021.9553300000007</v>
      </c>
      <c r="I33" s="134">
        <f>21821.33479</f>
        <v>21821.334790000001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177.54302000000001</v>
      </c>
      <c r="G34" s="134">
        <f>G35+G36</f>
        <v>21416.309130000001</v>
      </c>
      <c r="H34" s="134">
        <f t="shared" si="3"/>
        <v>-83.30913000000146</v>
      </c>
      <c r="I34" s="134">
        <f>I35+I36</f>
        <v>21142.66646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118.54302</f>
        <v>118.54302</v>
      </c>
      <c r="G35" s="134">
        <f>25084.30913 - F61 - F62</f>
        <v>20649.309130000001</v>
      </c>
      <c r="H35" s="129">
        <f t="shared" si="3"/>
        <v>-516.30913000000146</v>
      </c>
      <c r="I35" s="129">
        <f>22141.66646 - H61 - H62</f>
        <v>20458.66646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59</v>
      </c>
      <c r="G36" s="73">
        <f>F60</f>
        <v>767</v>
      </c>
      <c r="H36" s="73">
        <f t="shared" si="3"/>
        <v>433</v>
      </c>
      <c r="I36" s="73">
        <f>H60</f>
        <v>684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746.7916</f>
        <v>746.79160000000002</v>
      </c>
      <c r="H37" s="141">
        <f t="shared" si="3"/>
        <v>2253.2084</v>
      </c>
      <c r="I37" s="141">
        <f>445.0706</f>
        <v>445.07060000000001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11.376</f>
        <v>11.375999999999999</v>
      </c>
      <c r="G38" s="100">
        <f>526.09112</f>
        <v>526.09112000000005</v>
      </c>
      <c r="H38" s="100">
        <f t="shared" si="3"/>
        <v>324.90887999999995</v>
      </c>
      <c r="I38" s="100">
        <f>506.47138</f>
        <v>506.47138000000001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16</v>
      </c>
      <c r="G39" s="100">
        <f>F61</f>
        <v>4435</v>
      </c>
      <c r="H39" s="100">
        <f t="shared" si="3"/>
        <v>-1387</v>
      </c>
      <c r="I39" s="100">
        <f>H61</f>
        <v>1683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3.08012</f>
        <v>3.08012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>
        <f>0.05725</f>
        <v>5.7250000000000002E-2</v>
      </c>
      <c r="G41" s="100">
        <f>357.7691</f>
        <v>357.76909999999998</v>
      </c>
      <c r="H41" s="100">
        <f>E41-G41</f>
        <v>-57.76909999999998</v>
      </c>
      <c r="I41" s="100">
        <f>125.46505</f>
        <v>125.46505000000001</v>
      </c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3615.2929400000003</v>
      </c>
      <c r="G44" s="78">
        <f t="shared" si="4"/>
        <v>262160.61798000004</v>
      </c>
      <c r="H44" s="78">
        <f t="shared" si="4"/>
        <v>36535.382019999975</v>
      </c>
      <c r="I44" s="78">
        <f t="shared" si="4"/>
        <v>316331.5906</v>
      </c>
      <c r="J44" s="242"/>
    </row>
    <row r="45" spans="1:13" ht="14.1" customHeight="1" x14ac:dyDescent="0.25">
      <c r="A45" s="101"/>
      <c r="B45" s="24"/>
      <c r="C45" s="80" t="s">
        <v>127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146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126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142</v>
      </c>
      <c r="F54" s="68" t="s">
        <v>143</v>
      </c>
      <c r="G54" s="68" t="s">
        <v>144</v>
      </c>
      <c r="H54" s="68" t="s">
        <v>145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283</v>
      </c>
      <c r="F55" s="11">
        <f>F59+F58+F57+F56</f>
        <v>7132</v>
      </c>
      <c r="G55" s="291">
        <f>D55-F55</f>
        <v>2708</v>
      </c>
      <c r="H55" s="11">
        <f>H59+H58+H57+H56</f>
        <v>7702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>
        <v>97</v>
      </c>
      <c r="F56" s="129">
        <v>1111</v>
      </c>
      <c r="G56" s="292"/>
      <c r="H56" s="129">
        <v>1330</v>
      </c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>
        <v>154</v>
      </c>
      <c r="F57" s="129">
        <v>2303</v>
      </c>
      <c r="G57" s="292"/>
      <c r="H57" s="129">
        <v>3001</v>
      </c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>
        <v>25</v>
      </c>
      <c r="F58" s="129">
        <v>2533</v>
      </c>
      <c r="G58" s="292"/>
      <c r="H58" s="129">
        <v>2122</v>
      </c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>
        <v>7</v>
      </c>
      <c r="F59" s="194">
        <v>1185</v>
      </c>
      <c r="G59" s="293"/>
      <c r="H59" s="194">
        <v>1249</v>
      </c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59</v>
      </c>
      <c r="F60" s="97">
        <v>767</v>
      </c>
      <c r="G60" s="97">
        <f>D60-F60</f>
        <v>433</v>
      </c>
      <c r="H60" s="97">
        <v>684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16</v>
      </c>
      <c r="F61" s="141">
        <v>4435</v>
      </c>
      <c r="G61" s="141">
        <f>D61-F61</f>
        <v>-1435</v>
      </c>
      <c r="H61" s="141">
        <v>1683</v>
      </c>
      <c r="I61" s="256"/>
      <c r="J61" s="242"/>
    </row>
    <row r="62" spans="1:10" ht="14.1" customHeight="1" x14ac:dyDescent="0.25">
      <c r="A62" s="101"/>
      <c r="B62" s="24"/>
      <c r="C62" s="80" t="s">
        <v>123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119</v>
      </c>
      <c r="C68" s="286"/>
      <c r="D68" s="121"/>
      <c r="E68" s="121"/>
      <c r="F68" s="121"/>
      <c r="G68" s="121"/>
      <c r="H68" s="1"/>
      <c r="I68" s="1"/>
      <c r="J68" s="1"/>
    </row>
    <row r="76" spans="1:10" ht="130.5" customHeight="1" x14ac:dyDescent="0.25"/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136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142</v>
      </c>
      <c r="G91" s="15" t="s">
        <v>143</v>
      </c>
      <c r="H91" s="15" t="s">
        <v>144</v>
      </c>
      <c r="I91" s="15" t="s">
        <v>145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1043.7294000000002</v>
      </c>
      <c r="G92" s="11">
        <f t="shared" si="5"/>
        <v>42893.725269999995</v>
      </c>
      <c r="H92" s="11">
        <f t="shared" si="5"/>
        <v>-8094.7252699999972</v>
      </c>
      <c r="I92" s="11">
        <f t="shared" si="5"/>
        <v>37248.623520000001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1038.7398</f>
        <v>1038.7398000000001</v>
      </c>
      <c r="G93" s="23">
        <f>42330.74348</f>
        <v>42330.743479999997</v>
      </c>
      <c r="H93" s="23">
        <f>E93-G93</f>
        <v>-8343.7434799999974</v>
      </c>
      <c r="I93" s="23">
        <f>36508.92071</f>
        <v>36508.920709999999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4.9896</f>
        <v>4.9896000000000003</v>
      </c>
      <c r="G94" s="52">
        <f>562.98179</f>
        <v>562.98179000000005</v>
      </c>
      <c r="H94" s="52">
        <f>E94-G94</f>
        <v>249.01820999999995</v>
      </c>
      <c r="I94" s="52">
        <f>739.70281</f>
        <v>739.70281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1295.34213</v>
      </c>
      <c r="G95" s="11">
        <f t="shared" si="6"/>
        <v>35655.109920000003</v>
      </c>
      <c r="H95" s="11">
        <f t="shared" si="6"/>
        <v>23844.890080000008</v>
      </c>
      <c r="I95" s="11">
        <f t="shared" si="6"/>
        <v>38640.024559999998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551.5829</v>
      </c>
      <c r="G96" s="134">
        <f t="shared" si="7"/>
        <v>24223.326379999999</v>
      </c>
      <c r="H96" s="134">
        <f t="shared" si="7"/>
        <v>20267.673620000005</v>
      </c>
      <c r="I96" s="134">
        <f t="shared" si="7"/>
        <v>29584.608079999998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197.33735</f>
        <v>197.33734999999999</v>
      </c>
      <c r="G97" s="129">
        <f>4363.08059</f>
        <v>4363.0805899999996</v>
      </c>
      <c r="H97" s="129">
        <f t="shared" ref="H97:H104" si="8">E97-G97</f>
        <v>7520.6194100000012</v>
      </c>
      <c r="I97" s="129">
        <f>3784.4416</f>
        <v>3784.4416000000001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119.33877</f>
        <v>119.33877</v>
      </c>
      <c r="G98" s="129">
        <f>7558.53177</f>
        <v>7558.5317699999996</v>
      </c>
      <c r="H98" s="129">
        <f t="shared" si="8"/>
        <v>5106.5682300000008</v>
      </c>
      <c r="I98" s="129">
        <f>9823.40619</f>
        <v>9823.4061899999997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233.54934</f>
        <v>233.54934</v>
      </c>
      <c r="G99" s="129">
        <f>6947.05452</f>
        <v>6947.0545199999997</v>
      </c>
      <c r="H99" s="129">
        <f t="shared" si="8"/>
        <v>5018.5454800000007</v>
      </c>
      <c r="I99" s="129">
        <f>8317.44556</f>
        <v>8317.4455600000001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1.35744</f>
        <v>1.35744</v>
      </c>
      <c r="G100" s="129">
        <f>5354.6595</f>
        <v>5354.6594999999998</v>
      </c>
      <c r="H100" s="129">
        <f t="shared" si="8"/>
        <v>2621.9405000000006</v>
      </c>
      <c r="I100" s="129">
        <f>7659.31473</f>
        <v>7659.3147300000001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600.48751</f>
        <v>600.48751000000004</v>
      </c>
      <c r="G101" s="134">
        <f>9270.2413</f>
        <v>9270.2412999999997</v>
      </c>
      <c r="H101" s="134">
        <f t="shared" si="8"/>
        <v>1120.7587000000003</v>
      </c>
      <c r="I101" s="134">
        <f>7155.16449</f>
        <v>7155.1644900000001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143.27172</f>
        <v>143.27171999999999</v>
      </c>
      <c r="G102" s="77">
        <f>2161.54224</f>
        <v>2161.5422400000002</v>
      </c>
      <c r="H102" s="77">
        <f t="shared" si="8"/>
        <v>2456.4577599999998</v>
      </c>
      <c r="I102" s="77">
        <f>1900.25199</f>
        <v>1900.25199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0.07092</f>
        <v>7.0919999999999997E-2</v>
      </c>
      <c r="G103" s="100">
        <f>11.50681</f>
        <v>11.50681</v>
      </c>
      <c r="H103" s="100">
        <f t="shared" si="8"/>
        <v>308.49319000000003</v>
      </c>
      <c r="I103" s="100">
        <f>22.25999</f>
        <v>22.259989999999998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0.26307</f>
        <v>0.26307000000000003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00">
        <f>0.00456</f>
        <v>4.5599999999999998E-3</v>
      </c>
      <c r="G105" s="100">
        <f>12.66776</f>
        <v>12.667759999999999</v>
      </c>
      <c r="H105" s="141">
        <f>E105-G105</f>
        <v>37.332239999999999</v>
      </c>
      <c r="I105" s="100">
        <f>5.4403</f>
        <v>5.4402999999999997</v>
      </c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2339.4100800000001</v>
      </c>
      <c r="G107" s="78">
        <f t="shared" si="9"/>
        <v>78881.777559999988</v>
      </c>
      <c r="H107" s="78">
        <f t="shared" si="9"/>
        <v>16087.222440000023</v>
      </c>
      <c r="I107" s="78">
        <f t="shared" si="9"/>
        <v>76260.083150000006</v>
      </c>
      <c r="J107" s="242"/>
    </row>
    <row r="108" spans="1:10" ht="13.5" customHeight="1" x14ac:dyDescent="0.25">
      <c r="A108" s="1"/>
      <c r="B108" s="252"/>
      <c r="C108" s="80" t="s">
        <v>125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147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124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119</v>
      </c>
      <c r="D113" s="226"/>
      <c r="E113" s="226"/>
      <c r="F113" s="226"/>
      <c r="G113" s="226"/>
      <c r="H113" s="226"/>
      <c r="I113" s="101"/>
      <c r="J113" s="101" t="s">
        <v>119</v>
      </c>
    </row>
    <row r="114" spans="1:10" ht="14.25" customHeight="1" x14ac:dyDescent="0.2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212994</v>
      </c>
      <c r="E119" s="102" t="s">
        <v>4</v>
      </c>
      <c r="F119" s="116">
        <v>77294</v>
      </c>
      <c r="G119" s="117" t="s">
        <v>5</v>
      </c>
      <c r="H119" s="116">
        <v>8732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79383</v>
      </c>
      <c r="G120" s="117" t="s">
        <v>8</v>
      </c>
      <c r="H120" s="119">
        <v>59537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1700</v>
      </c>
      <c r="E121" s="117" t="s">
        <v>60</v>
      </c>
      <c r="F121" s="119">
        <v>52226</v>
      </c>
      <c r="G121" s="117" t="s">
        <v>11</v>
      </c>
      <c r="H121" s="119">
        <v>11114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212994</v>
      </c>
      <c r="G123" s="180" t="s">
        <v>7</v>
      </c>
      <c r="H123" s="35">
        <v>79383</v>
      </c>
      <c r="I123" s="181"/>
      <c r="J123" s="242"/>
    </row>
    <row r="124" spans="1:10" ht="12" customHeight="1" x14ac:dyDescent="0.2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142</v>
      </c>
      <c r="G127" s="15" t="s">
        <v>143</v>
      </c>
      <c r="H127" s="15" t="s">
        <v>144</v>
      </c>
      <c r="I127" s="15" t="s">
        <v>145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77294</v>
      </c>
      <c r="E128" s="28">
        <f t="shared" ref="E128" si="10">E129+E130+E131</f>
        <v>70707</v>
      </c>
      <c r="F128" s="11">
        <f t="shared" ref="F128:I128" si="11">F129+F130+F131</f>
        <v>1589.1718000000001</v>
      </c>
      <c r="G128" s="11">
        <f t="shared" si="11"/>
        <v>63850.035370000005</v>
      </c>
      <c r="H128" s="11">
        <f t="shared" si="11"/>
        <v>6856.9646299999968</v>
      </c>
      <c r="I128" s="11">
        <f t="shared" si="11"/>
        <v>58307.918890000001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61835</v>
      </c>
      <c r="E129" s="48">
        <v>56225</v>
      </c>
      <c r="F129" s="23">
        <f>1070.8389</f>
        <v>1070.8389</v>
      </c>
      <c r="G129" s="23">
        <f>55640.56887</f>
        <v>55640.568870000003</v>
      </c>
      <c r="H129" s="23">
        <f>E129-G129</f>
        <v>584.43112999999721</v>
      </c>
      <c r="I129" s="23">
        <f>49332.98338</f>
        <v>49332.983379999998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14959</v>
      </c>
      <c r="E130" s="48">
        <v>13982</v>
      </c>
      <c r="F130" s="23">
        <f>514.8819</f>
        <v>514.88189999999997</v>
      </c>
      <c r="G130" s="23">
        <f>8066.48245</f>
        <v>8066.4824500000004</v>
      </c>
      <c r="H130" s="23">
        <f>E130-G130</f>
        <v>5915.5175499999996</v>
      </c>
      <c r="I130" s="23">
        <f>8723.82151</f>
        <v>8723.8215099999998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23">
        <f>3.451</f>
        <v>3.4510000000000001</v>
      </c>
      <c r="G131" s="23">
        <f>142.98405</f>
        <v>142.98405</v>
      </c>
      <c r="H131" s="58">
        <f>E131-G131</f>
        <v>357.01594999999998</v>
      </c>
      <c r="I131" s="23">
        <f>251.114</f>
        <v>251.114</v>
      </c>
      <c r="J131" s="242"/>
    </row>
    <row r="132" spans="1:10" ht="14.25" customHeight="1" x14ac:dyDescent="0.25">
      <c r="A132" s="70"/>
      <c r="B132" s="81"/>
      <c r="C132" s="91" t="s">
        <v>65</v>
      </c>
      <c r="D132" s="93">
        <v>52226</v>
      </c>
      <c r="E132" s="93">
        <v>49285</v>
      </c>
      <c r="F132" s="97">
        <f>28.774</f>
        <v>28.774000000000001</v>
      </c>
      <c r="G132" s="97">
        <f>38875.11718+7112.00313</f>
        <v>45987.120309999998</v>
      </c>
      <c r="H132" s="97">
        <f>E132-G132</f>
        <v>3297.8796900000016</v>
      </c>
      <c r="I132" s="97">
        <f>40748.83948</f>
        <v>40748.839480000002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80892</v>
      </c>
      <c r="E133" s="145">
        <f>E134+E139+E142</f>
        <v>81112</v>
      </c>
      <c r="F133" s="96">
        <f>F134+F139+F142</f>
        <v>1363.3959500000001</v>
      </c>
      <c r="G133" s="96">
        <f t="shared" ref="G133" si="12">G134+G139+G142</f>
        <v>65024.220840000009</v>
      </c>
      <c r="H133" s="96">
        <f>H134+H139+H142</f>
        <v>16087.779159999998</v>
      </c>
      <c r="I133" s="96">
        <f>I134+I139+I142</f>
        <v>68831.832869999998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61046</v>
      </c>
      <c r="E134" s="125">
        <f>E135+E136+E137+E138</f>
        <v>59633</v>
      </c>
      <c r="F134" s="127">
        <f>F135+F136+F137+F138</f>
        <v>1003.32967</v>
      </c>
      <c r="G134" s="127">
        <f>G135+G136+G138+G137</f>
        <v>49724.688490000008</v>
      </c>
      <c r="H134" s="127">
        <f>H135+H136+H137+H138</f>
        <v>9908.3115099999977</v>
      </c>
      <c r="I134" s="127">
        <f>I135+I136+I137+I138</f>
        <v>54145.541289999994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16203</v>
      </c>
      <c r="E135" s="65">
        <v>17538</v>
      </c>
      <c r="F135" s="129">
        <f>429.18815</f>
        <v>429.18815000000001</v>
      </c>
      <c r="G135" s="129">
        <v>10063.578240000001</v>
      </c>
      <c r="H135" s="129">
        <f>E135-G135</f>
        <v>7474.4217599999993</v>
      </c>
      <c r="I135" s="129">
        <f>9343.81609</f>
        <v>9343.8160900000003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16593</v>
      </c>
      <c r="E136" s="65">
        <v>15118</v>
      </c>
      <c r="F136" s="129">
        <f>359.05902</f>
        <v>359.05901999999998</v>
      </c>
      <c r="G136" s="129">
        <v>14973.195319999999</v>
      </c>
      <c r="H136" s="129">
        <f>E136-G136</f>
        <v>144.8046800000011</v>
      </c>
      <c r="I136" s="129">
        <f>12303.43285</f>
        <v>12303.432849999999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15164</v>
      </c>
      <c r="E137" s="65">
        <v>15056</v>
      </c>
      <c r="F137" s="129">
        <f>165.0608</f>
        <v>165.0608</v>
      </c>
      <c r="G137" s="129">
        <v>13617.385670000001</v>
      </c>
      <c r="H137" s="129">
        <f>E137-G137</f>
        <v>1438.6143299999985</v>
      </c>
      <c r="I137" s="129">
        <f>17354.85359</f>
        <v>17354.853589999999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13085</v>
      </c>
      <c r="E138" s="65">
        <v>11921</v>
      </c>
      <c r="F138" s="129">
        <f>50.0217</f>
        <v>50.021700000000003</v>
      </c>
      <c r="G138" s="129">
        <v>11070.529260000001</v>
      </c>
      <c r="H138" s="129">
        <f>E138-G138</f>
        <v>850.47073999999884</v>
      </c>
      <c r="I138" s="129">
        <f>15143.43876</f>
        <v>15143.438759999999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8732</v>
      </c>
      <c r="E139" s="60">
        <f>E141+E140</f>
        <v>9451</v>
      </c>
      <c r="F139" s="134">
        <f>SUM(F140:F141)</f>
        <v>97.956599999999995</v>
      </c>
      <c r="G139" s="134">
        <f>SUM(G140:G141)</f>
        <v>7530.4267499999996</v>
      </c>
      <c r="H139" s="134">
        <f>H140+H141</f>
        <v>1920.5732500000001</v>
      </c>
      <c r="I139" s="134">
        <f>SUM(I140:I141)</f>
        <v>6839.0502100000003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8232</v>
      </c>
      <c r="E140" s="65">
        <v>8951</v>
      </c>
      <c r="F140" s="129">
        <f>91.119</f>
        <v>91.119</v>
      </c>
      <c r="G140" s="129">
        <f>7258.99489</f>
        <v>7258.9948899999999</v>
      </c>
      <c r="H140" s="129">
        <f t="shared" ref="H140:H147" si="13">E140-G140</f>
        <v>1692.0051100000001</v>
      </c>
      <c r="I140" s="129">
        <f>6540.58416</f>
        <v>6540.5841600000003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6.8376</f>
        <v>6.8376000000000001</v>
      </c>
      <c r="G141" s="129">
        <f>271.43186</f>
        <v>271.43185999999997</v>
      </c>
      <c r="H141" s="129">
        <f t="shared" si="13"/>
        <v>228.56814000000003</v>
      </c>
      <c r="I141" s="129">
        <f>298.46605</f>
        <v>298.46605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11114</v>
      </c>
      <c r="E142" s="63">
        <v>12028</v>
      </c>
      <c r="F142" s="77">
        <f>262.10968</f>
        <v>262.10968000000003</v>
      </c>
      <c r="G142" s="77">
        <f>7769.1056</f>
        <v>7769.1055999999999</v>
      </c>
      <c r="H142" s="77">
        <f t="shared" si="13"/>
        <v>4258.8944000000001</v>
      </c>
      <c r="I142" s="77">
        <f>7847.24137</f>
        <v>7847.2413699999997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1.73205</f>
        <v>1.7320500000000001</v>
      </c>
      <c r="G143" s="141">
        <f>33.68218</f>
        <v>33.682180000000002</v>
      </c>
      <c r="H143" s="141">
        <f t="shared" si="13"/>
        <v>103.31782</v>
      </c>
      <c r="I143" s="141">
        <f>28.10857</f>
        <v>28.10857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3"/>
        <v>-12.581000000000017</v>
      </c>
      <c r="I144" s="100">
        <f>307.078</f>
        <v>307.07799999999997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7.62244</f>
        <v>7.6224400000000001</v>
      </c>
      <c r="G145" s="141">
        <v>2000</v>
      </c>
      <c r="H145" s="141">
        <f t="shared" si="13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3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00">
        <f>0.06108</f>
        <v>6.1080000000000002E-2</v>
      </c>
      <c r="G147" s="100">
        <f>28.48546</f>
        <v>28.48546</v>
      </c>
      <c r="H147" s="141">
        <f t="shared" si="13"/>
        <v>166.51454000000001</v>
      </c>
      <c r="I147" s="100">
        <f>7.07205</f>
        <v>7.0720499999999999</v>
      </c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>
        <f>77.873</f>
        <v>77.873000000000005</v>
      </c>
      <c r="G148" s="141">
        <f>300.13763</f>
        <v>300.13763</v>
      </c>
      <c r="H148" s="141"/>
      <c r="I148" s="141">
        <f>166.7728</f>
        <v>166.77279999999999</v>
      </c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4">D128+D132+D133+D143+D144+D145+D146+D147+D148</f>
        <v>212994</v>
      </c>
      <c r="E150" s="78">
        <f t="shared" si="14"/>
        <v>203686</v>
      </c>
      <c r="F150" s="78">
        <f>F128+F132+F133+F143+F144+F145+F146+F147+F148</f>
        <v>3068.6303200000002</v>
      </c>
      <c r="G150" s="78">
        <f>G128+G132+G133+G143+G144+G145+G146+G147+G148</f>
        <v>177486.26279000001</v>
      </c>
      <c r="H150" s="78">
        <f>H128+H132+H133+H143+H144+H145+H146+H147+H148</f>
        <v>26499.874839999997</v>
      </c>
      <c r="I150" s="78">
        <f>I128+I132+I133+I143+I144+I145+I146+I147+I148</f>
        <v>170397.62265999999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129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149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148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130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ht="88.5" customHeight="1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119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119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119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142</v>
      </c>
      <c r="F174" s="15" t="s">
        <v>143</v>
      </c>
      <c r="G174" s="56" t="s">
        <v>144</v>
      </c>
      <c r="H174" s="15" t="s">
        <v>145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59.13247</f>
        <v>59.132469999999998</v>
      </c>
      <c r="F175" s="274">
        <f>1812.93883</f>
        <v>1812.9388300000001</v>
      </c>
      <c r="G175" s="45">
        <f>D175-F175-F176</f>
        <v>1179.7136599999999</v>
      </c>
      <c r="H175" s="274">
        <f>1644.39744</f>
        <v>1644.39744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80.2854</f>
        <v>80.285399999999996</v>
      </c>
      <c r="F176" s="154">
        <f>1995.34751</f>
        <v>1995.3475100000001</v>
      </c>
      <c r="G176" s="215"/>
      <c r="H176" s="154">
        <f>1736.58693</f>
        <v>1736.5869299999999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74.78746</f>
        <v>74.787459999999996</v>
      </c>
      <c r="G177" s="174">
        <f>D177-F177</f>
        <v>125.21254</v>
      </c>
      <c r="H177" s="174">
        <f>51.01208</f>
        <v>51.012079999999997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23.962049999999998</v>
      </c>
      <c r="F178" s="183">
        <f>F179+F180+F181</f>
        <v>8145.30872</v>
      </c>
      <c r="G178" s="183">
        <f>D178-F178</f>
        <v>-664.30871999999999</v>
      </c>
      <c r="H178" s="183">
        <f>H179+H180+H181</f>
        <v>7823.5875799999994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5.66839</f>
        <v>5.6683899999999996</v>
      </c>
      <c r="F179" s="129">
        <f>4184.79069</f>
        <v>4184.7906899999998</v>
      </c>
      <c r="G179" s="129"/>
      <c r="H179" s="129">
        <f>3986.38852</f>
        <v>3986.38852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8.98401</f>
        <v>8.9840099999999996</v>
      </c>
      <c r="F180" s="129">
        <f>2515.81882</f>
        <v>2515.81882</v>
      </c>
      <c r="G180" s="129"/>
      <c r="H180" s="129">
        <f>2458.98785</f>
        <v>2458.98785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9.30965</f>
        <v>9.3096499999999995</v>
      </c>
      <c r="F181" s="194">
        <f>1444.69921</f>
        <v>1444.69921</v>
      </c>
      <c r="G181" s="194"/>
      <c r="H181" s="194">
        <f>1378.21121</f>
        <v>1378.2112099999999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163.37992</v>
      </c>
      <c r="F184" s="196">
        <f>F175+F176+F177+F178+F182+F183</f>
        <v>12028.382519999999</v>
      </c>
      <c r="G184" s="196">
        <f>D184-F184</f>
        <v>706.6174800000008</v>
      </c>
      <c r="H184" s="196">
        <f>H175+H176+H177+H178+H182+H183</f>
        <v>11255.58403</v>
      </c>
      <c r="I184" s="165"/>
      <c r="J184" s="162"/>
    </row>
    <row r="185" spans="1:10" ht="42" customHeight="1" x14ac:dyDescent="0.25">
      <c r="A185" s="1"/>
      <c r="B185" s="200"/>
      <c r="C185" s="225" t="s">
        <v>131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119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119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119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132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133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134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142</v>
      </c>
      <c r="F203" s="68" t="s">
        <v>143</v>
      </c>
      <c r="G203" s="68" t="s">
        <v>144</v>
      </c>
      <c r="H203" s="68" t="s">
        <v>145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131.75244</f>
        <v>131.75244000000001</v>
      </c>
      <c r="F204" s="124">
        <f>41921.82091</f>
        <v>41921.820910000002</v>
      </c>
      <c r="G204" s="124">
        <f>D204-F204</f>
        <v>1917.1790899999978</v>
      </c>
      <c r="H204" s="124">
        <f>37649.29446</f>
        <v>37649.294459999997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0.5225</f>
        <v>0.52249999999999996</v>
      </c>
      <c r="F205" s="124">
        <f>66.58343</f>
        <v>66.583430000000007</v>
      </c>
      <c r="G205" s="124">
        <f>D205-F205</f>
        <v>33.416569999999993</v>
      </c>
      <c r="H205" s="124">
        <f>60.1613</f>
        <v>60.161299999999997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132.27494000000002</v>
      </c>
      <c r="F207" s="190">
        <f>SUM(F204:F206)</f>
        <v>41988.404340000001</v>
      </c>
      <c r="G207" s="190">
        <f>D207-F207</f>
        <v>1992.595659999999</v>
      </c>
      <c r="H207" s="190">
        <f>SUM(H204:H206)</f>
        <v>37709.455759999997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35">
      <c r="A243" s="152"/>
      <c r="B243" s="1"/>
      <c r="C243" s="213" t="s">
        <v>137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35">
      <c r="A244" s="152" t="s">
        <v>119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2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2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2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25">
      <c r="A248" s="1"/>
      <c r="B248" s="252"/>
      <c r="C248" s="68" t="s">
        <v>16</v>
      </c>
      <c r="D248" s="79" t="s">
        <v>2</v>
      </c>
      <c r="E248" s="68" t="s">
        <v>142</v>
      </c>
      <c r="F248" s="68" t="s">
        <v>143</v>
      </c>
      <c r="G248" s="68" t="s">
        <v>144</v>
      </c>
      <c r="H248" s="68" t="s">
        <v>145</v>
      </c>
      <c r="I248" s="1"/>
      <c r="J248" s="122"/>
    </row>
    <row r="249" spans="1:10" ht="15" customHeight="1" x14ac:dyDescent="0.25">
      <c r="A249" s="1"/>
      <c r="B249" s="252"/>
      <c r="C249" s="90" t="s">
        <v>8</v>
      </c>
      <c r="D249" s="124"/>
      <c r="E249" s="77">
        <f>15.5568</f>
        <v>15.556800000000001</v>
      </c>
      <c r="F249" s="77">
        <f>3575.03609</f>
        <v>3575.0360900000001</v>
      </c>
      <c r="G249" s="77"/>
      <c r="H249" s="77">
        <f>2853.13568</f>
        <v>2853.1356799999999</v>
      </c>
      <c r="I249" s="246"/>
      <c r="J249" s="122"/>
    </row>
    <row r="250" spans="1:10" ht="15" customHeight="1" x14ac:dyDescent="0.25">
      <c r="A250" s="1"/>
      <c r="B250" s="252"/>
      <c r="C250" s="90" t="s">
        <v>11</v>
      </c>
      <c r="D250" s="124"/>
      <c r="E250" s="77">
        <f>63.77936</f>
        <v>63.779359999999997</v>
      </c>
      <c r="F250" s="77">
        <f>5395.79046</f>
        <v>5395.7904600000002</v>
      </c>
      <c r="G250" s="77"/>
      <c r="H250" s="77">
        <f>4954.80673</f>
        <v>4954.8067300000002</v>
      </c>
      <c r="I250" s="246"/>
      <c r="J250" s="122"/>
    </row>
    <row r="251" spans="1:10" ht="15.75" customHeight="1" x14ac:dyDescent="0.25">
      <c r="A251" s="1"/>
      <c r="B251" s="252"/>
      <c r="C251" s="146" t="s">
        <v>68</v>
      </c>
      <c r="D251" s="168"/>
      <c r="E251" s="124">
        <f>6.57778</f>
        <v>6.5777799999999997</v>
      </c>
      <c r="F251" s="124">
        <f>659.42317</f>
        <v>659.42317000000003</v>
      </c>
      <c r="G251" s="168"/>
      <c r="H251" s="124">
        <f>643.96107</f>
        <v>643.96106999999995</v>
      </c>
      <c r="I251" s="246"/>
      <c r="J251" s="122"/>
    </row>
    <row r="252" spans="1:10" ht="16.5" customHeight="1" x14ac:dyDescent="0.25">
      <c r="A252" s="1"/>
      <c r="B252" s="252"/>
      <c r="C252" s="179" t="s">
        <v>88</v>
      </c>
      <c r="D252" s="190">
        <v>10454</v>
      </c>
      <c r="E252" s="190">
        <f>SUM(E249:E251)</f>
        <v>85.913939999999997</v>
      </c>
      <c r="F252" s="190">
        <f>SUM(F249:F251)</f>
        <v>9630.2497199999998</v>
      </c>
      <c r="G252" s="190">
        <f>D252-F252</f>
        <v>823.7502800000002</v>
      </c>
      <c r="H252" s="190">
        <f>SUM(H249:H251)</f>
        <v>8451.903479999999</v>
      </c>
      <c r="I252" s="246"/>
      <c r="J252" s="122"/>
    </row>
    <row r="253" spans="1:10" ht="17.100000000000001" customHeight="1" x14ac:dyDescent="0.2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35">
      <c r="A288" s="152"/>
      <c r="B288" s="1"/>
      <c r="C288" s="213" t="s">
        <v>138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35">
      <c r="A289" s="152" t="s">
        <v>119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2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2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2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25">
      <c r="A293" s="1"/>
      <c r="B293" s="252"/>
      <c r="C293" s="68" t="s">
        <v>16</v>
      </c>
      <c r="D293" s="79" t="s">
        <v>2</v>
      </c>
      <c r="E293" s="68" t="s">
        <v>142</v>
      </c>
      <c r="F293" s="68" t="s">
        <v>143</v>
      </c>
      <c r="G293" s="68" t="s">
        <v>144</v>
      </c>
      <c r="H293" s="68" t="s">
        <v>145</v>
      </c>
      <c r="I293" s="1"/>
      <c r="J293" s="122"/>
    </row>
    <row r="294" spans="1:10" ht="15" customHeight="1" x14ac:dyDescent="0.25">
      <c r="A294" s="1"/>
      <c r="B294" s="252"/>
      <c r="C294" s="90" t="s">
        <v>8</v>
      </c>
      <c r="D294" s="124"/>
      <c r="E294" s="77">
        <f>11.8408</f>
        <v>11.8408</v>
      </c>
      <c r="F294" s="77">
        <f>5519.13968</f>
        <v>5519.1396800000002</v>
      </c>
      <c r="G294" s="77"/>
      <c r="H294" s="77">
        <f>4158.27751</f>
        <v>4158.2775099999999</v>
      </c>
      <c r="I294" s="246"/>
      <c r="J294" s="122"/>
    </row>
    <row r="295" spans="1:10" ht="15" customHeight="1" x14ac:dyDescent="0.25">
      <c r="A295" s="1"/>
      <c r="B295" s="252"/>
      <c r="C295" s="90" t="s">
        <v>11</v>
      </c>
      <c r="D295" s="124"/>
      <c r="E295" s="77">
        <f>131.3219</f>
        <v>131.3219</v>
      </c>
      <c r="F295" s="77">
        <f>3722.39596</f>
        <v>3722.3959599999998</v>
      </c>
      <c r="G295" s="77"/>
      <c r="H295" s="77">
        <f>3498.48924</f>
        <v>3498.4892399999999</v>
      </c>
      <c r="I295" s="246"/>
      <c r="J295" s="122"/>
    </row>
    <row r="296" spans="1:10" ht="15.75" customHeight="1" x14ac:dyDescent="0.25">
      <c r="A296" s="1"/>
      <c r="B296" s="252"/>
      <c r="C296" s="146" t="s">
        <v>68</v>
      </c>
      <c r="D296" s="168"/>
      <c r="E296" s="124">
        <f>1.6174</f>
        <v>1.6173999999999999</v>
      </c>
      <c r="F296" s="124">
        <f>511.56658</f>
        <v>511.56657999999999</v>
      </c>
      <c r="G296" s="168"/>
      <c r="H296" s="124">
        <f>582.64571</f>
        <v>582.64571000000001</v>
      </c>
      <c r="I296" s="246"/>
      <c r="J296" s="122"/>
    </row>
    <row r="297" spans="1:10" ht="16.5" customHeight="1" x14ac:dyDescent="0.25">
      <c r="A297" s="1"/>
      <c r="B297" s="252"/>
      <c r="C297" s="179" t="s">
        <v>88</v>
      </c>
      <c r="D297" s="190">
        <v>8076</v>
      </c>
      <c r="E297" s="190">
        <f>SUM(E294:E296)</f>
        <v>144.7801</v>
      </c>
      <c r="F297" s="190">
        <f>SUM(F294:F296)</f>
        <v>9753.1022200000007</v>
      </c>
      <c r="G297" s="190">
        <f>D297-F297</f>
        <v>-1677.1022200000007</v>
      </c>
      <c r="H297" s="190">
        <f>SUM(H294:H296)</f>
        <v>8239.4124599999996</v>
      </c>
      <c r="I297" s="246"/>
      <c r="J297" s="122"/>
    </row>
    <row r="298" spans="1:10" ht="17.100000000000001" customHeight="1" x14ac:dyDescent="0.2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48.75" customHeight="1" x14ac:dyDescent="0.2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25">
      <c r="A333" s="216"/>
      <c r="B333" s="216"/>
      <c r="C333" s="217" t="s">
        <v>90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25">
      <c r="A334" s="216" t="s">
        <v>119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" customHeight="1" x14ac:dyDescent="0.2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" customHeight="1" x14ac:dyDescent="0.2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" customHeight="1" x14ac:dyDescent="0.25">
      <c r="A337" s="1"/>
      <c r="B337" s="252"/>
      <c r="C337" s="257" t="s">
        <v>85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" customHeight="1" x14ac:dyDescent="0.25">
      <c r="A338" s="1"/>
      <c r="B338" s="252"/>
      <c r="C338" s="246" t="s">
        <v>91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" customHeight="1" x14ac:dyDescent="0.25">
      <c r="A339" s="1"/>
      <c r="B339" s="252"/>
      <c r="C339" s="246" t="s">
        <v>92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25">
      <c r="A340" s="1"/>
      <c r="B340" s="252"/>
      <c r="C340" s="246" t="s">
        <v>75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2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" customHeight="1" x14ac:dyDescent="0.25">
      <c r="A342" s="1"/>
      <c r="B342" s="252"/>
      <c r="C342" s="226" t="s">
        <v>93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25">
      <c r="A343" s="1"/>
      <c r="B343" s="252"/>
      <c r="C343" s="101" t="s">
        <v>94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25">
      <c r="A344" s="1"/>
      <c r="B344" s="252"/>
      <c r="C344" s="101" t="s">
        <v>95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2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" customHeight="1" x14ac:dyDescent="0.2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25">
      <c r="A347" s="1"/>
      <c r="B347" s="252"/>
      <c r="C347" s="68" t="s">
        <v>16</v>
      </c>
      <c r="D347" s="241" t="s">
        <v>2</v>
      </c>
      <c r="E347" s="68" t="s">
        <v>142</v>
      </c>
      <c r="F347" s="68" t="s">
        <v>143</v>
      </c>
      <c r="G347" s="68" t="s">
        <v>144</v>
      </c>
      <c r="H347" s="68" t="s">
        <v>145</v>
      </c>
      <c r="I347" s="1"/>
      <c r="J347" s="118"/>
    </row>
    <row r="348" spans="1:10" ht="14.1" customHeight="1" x14ac:dyDescent="0.25">
      <c r="A348" s="70"/>
      <c r="B348" s="81"/>
      <c r="C348" s="90" t="s">
        <v>96</v>
      </c>
      <c r="D348" s="124">
        <v>800</v>
      </c>
      <c r="E348" s="124">
        <f>8.45252</f>
        <v>8.4525199999999998</v>
      </c>
      <c r="F348" s="124">
        <f>566.28279</f>
        <v>566.28278999999998</v>
      </c>
      <c r="G348" s="124">
        <f>D348-F348</f>
        <v>233.71721000000002</v>
      </c>
      <c r="H348" s="124">
        <f>374.12733</f>
        <v>374.12732999999997</v>
      </c>
      <c r="I348" s="70"/>
      <c r="J348" s="242"/>
    </row>
    <row r="349" spans="1:10" ht="14.1" customHeight="1" x14ac:dyDescent="0.25">
      <c r="A349" s="1"/>
      <c r="B349" s="252"/>
      <c r="C349" s="90" t="s">
        <v>97</v>
      </c>
      <c r="D349" s="244">
        <v>2494</v>
      </c>
      <c r="E349" s="124">
        <f>3.61086</f>
        <v>3.6108600000000002</v>
      </c>
      <c r="F349" s="124">
        <f>2747.8579</f>
        <v>2747.8579</v>
      </c>
      <c r="G349" s="124">
        <f>D349-F349</f>
        <v>-253.85789999999997</v>
      </c>
      <c r="H349" s="124">
        <f>1743.87381</f>
        <v>1743.87381</v>
      </c>
      <c r="I349" s="181"/>
      <c r="J349" s="118"/>
    </row>
    <row r="350" spans="1:10" ht="16.5" customHeight="1" x14ac:dyDescent="0.25">
      <c r="A350" s="70"/>
      <c r="B350" s="81"/>
      <c r="C350" s="146" t="s">
        <v>82</v>
      </c>
      <c r="D350" s="244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3.1032</f>
        <v>3.1032000000000002</v>
      </c>
      <c r="I350" s="70"/>
      <c r="J350" s="247"/>
    </row>
    <row r="351" spans="1:10" ht="18.75" customHeight="1" x14ac:dyDescent="0.25">
      <c r="A351" s="70"/>
      <c r="B351" s="248"/>
      <c r="C351" s="146" t="s">
        <v>98</v>
      </c>
      <c r="D351" s="220"/>
      <c r="E351" s="168">
        <f>0</f>
        <v>0</v>
      </c>
      <c r="F351" s="168">
        <f>1.78973</f>
        <v>1.78973</v>
      </c>
      <c r="G351" s="124"/>
      <c r="H351" s="168">
        <f>6.96964</f>
        <v>6.9696400000000001</v>
      </c>
      <c r="I351" s="282"/>
      <c r="J351" s="122"/>
    </row>
    <row r="352" spans="1:10" ht="14.1" customHeight="1" x14ac:dyDescent="0.25">
      <c r="A352" s="1"/>
      <c r="B352" s="252"/>
      <c r="C352" s="179" t="s">
        <v>88</v>
      </c>
      <c r="D352" s="6">
        <f>D337</f>
        <v>3299</v>
      </c>
      <c r="E352" s="190">
        <f>SUM(E348:E351)</f>
        <v>12.06338</v>
      </c>
      <c r="F352" s="190">
        <f>SUM(F348:F351)</f>
        <v>3318.6691599999999</v>
      </c>
      <c r="G352" s="190">
        <f>D352-F352</f>
        <v>-19.66915999999992</v>
      </c>
      <c r="H352" s="190">
        <f>H348+H349+H350+H351</f>
        <v>2128.0739799999997</v>
      </c>
      <c r="I352" s="1"/>
      <c r="J352" s="122"/>
    </row>
    <row r="353" spans="1:10" ht="14.1" customHeight="1" x14ac:dyDescent="0.2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" customHeight="1" x14ac:dyDescent="0.2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" customHeight="1" x14ac:dyDescent="0.25">
      <c r="A355" s="1"/>
      <c r="C355" s="152" t="s">
        <v>119</v>
      </c>
    </row>
    <row r="356" spans="1:10" ht="14.1" customHeight="1" x14ac:dyDescent="0.25">
      <c r="A356" s="1" t="s">
        <v>119</v>
      </c>
    </row>
    <row r="357" spans="1:10" ht="14.1" customHeight="1" x14ac:dyDescent="0.25">
      <c r="A357" s="1" t="s">
        <v>119</v>
      </c>
    </row>
    <row r="358" spans="1:10" ht="14.1" customHeight="1" x14ac:dyDescent="0.25">
      <c r="A358" s="1"/>
      <c r="C358" s="152" t="s">
        <v>119</v>
      </c>
    </row>
    <row r="359" spans="1:10" x14ac:dyDescent="0.25">
      <c r="A359" s="1"/>
      <c r="C359" s="152" t="s">
        <v>119</v>
      </c>
    </row>
    <row r="360" spans="1:10" ht="14.1" customHeight="1" x14ac:dyDescent="0.25">
      <c r="A360" s="1"/>
      <c r="C360" s="152" t="s">
        <v>119</v>
      </c>
    </row>
    <row r="361" spans="1:10" ht="14.1" customHeight="1" x14ac:dyDescent="0.25">
      <c r="A361" s="1"/>
      <c r="C361" s="152" t="s">
        <v>119</v>
      </c>
    </row>
    <row r="362" spans="1:10" ht="30" customHeight="1" x14ac:dyDescent="0.35">
      <c r="A362" s="216"/>
      <c r="B362" s="1"/>
      <c r="C362" s="213" t="s">
        <v>99</v>
      </c>
      <c r="D362" s="159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2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25">
      <c r="B365" s="74"/>
      <c r="C365" s="151" t="s">
        <v>1</v>
      </c>
      <c r="D365" s="187"/>
      <c r="E365" s="151" t="s">
        <v>100</v>
      </c>
      <c r="F365" s="187"/>
      <c r="G365" s="151" t="s">
        <v>101</v>
      </c>
      <c r="H365" s="187"/>
      <c r="I365" s="152"/>
      <c r="J365" s="132"/>
    </row>
    <row r="366" spans="1:10" ht="14.25" customHeight="1" x14ac:dyDescent="0.25">
      <c r="B366" s="74"/>
      <c r="C366" s="257" t="s">
        <v>85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25">
      <c r="B367" s="74"/>
      <c r="C367" s="246" t="s">
        <v>92</v>
      </c>
      <c r="D367" s="46">
        <v>19433</v>
      </c>
      <c r="E367" s="181" t="s">
        <v>97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25">
      <c r="B368" s="74"/>
      <c r="C368" s="246" t="s">
        <v>91</v>
      </c>
      <c r="D368" s="46">
        <v>6186</v>
      </c>
      <c r="E368" s="181" t="s">
        <v>60</v>
      </c>
      <c r="F368" s="49">
        <v>5500</v>
      </c>
      <c r="G368" s="246" t="s">
        <v>102</v>
      </c>
      <c r="H368" s="46">
        <v>4296</v>
      </c>
      <c r="I368" s="152"/>
      <c r="J368" s="132"/>
    </row>
    <row r="369" spans="1:10" ht="14.1" customHeight="1" x14ac:dyDescent="0.25">
      <c r="B369" s="74"/>
      <c r="C369" s="246"/>
      <c r="D369" s="46"/>
      <c r="E369" s="133"/>
      <c r="F369" s="147"/>
      <c r="G369" s="246" t="s">
        <v>103</v>
      </c>
      <c r="H369" s="46">
        <v>1313</v>
      </c>
      <c r="I369" s="152"/>
      <c r="J369" s="132"/>
    </row>
    <row r="370" spans="1:10" ht="14.1" customHeight="1" x14ac:dyDescent="0.25">
      <c r="B370" s="74"/>
      <c r="C370" s="57" t="s">
        <v>50</v>
      </c>
      <c r="D370" s="35">
        <v>53374</v>
      </c>
      <c r="E370" s="175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35" customHeight="1" x14ac:dyDescent="0.25">
      <c r="B371" s="74"/>
      <c r="C371" s="101" t="s">
        <v>120</v>
      </c>
      <c r="D371" s="181"/>
      <c r="E371" s="181"/>
      <c r="F371" s="181"/>
      <c r="G371" s="1"/>
      <c r="H371" s="181"/>
      <c r="I371" s="181"/>
      <c r="J371" s="242"/>
    </row>
    <row r="372" spans="1:10" ht="13.35" customHeight="1" x14ac:dyDescent="0.25">
      <c r="B372" s="74"/>
      <c r="C372" s="101" t="s">
        <v>105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2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2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2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2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25">
      <c r="B377" s="74"/>
      <c r="C377" s="221" t="s">
        <v>16</v>
      </c>
      <c r="D377" s="230" t="s">
        <v>17</v>
      </c>
      <c r="E377" s="68" t="s">
        <v>106</v>
      </c>
      <c r="F377" s="221" t="s">
        <v>142</v>
      </c>
      <c r="G377" s="221" t="s">
        <v>143</v>
      </c>
      <c r="H377" s="221" t="s">
        <v>144</v>
      </c>
      <c r="I377" s="221" t="s">
        <v>145</v>
      </c>
      <c r="J377" s="132"/>
    </row>
    <row r="378" spans="1:10" ht="14.1" customHeight="1" x14ac:dyDescent="0.25">
      <c r="A378" s="216"/>
      <c r="B378" s="74"/>
      <c r="C378" s="245" t="s">
        <v>19</v>
      </c>
      <c r="D378" s="249">
        <f t="shared" ref="D378:I378" si="15">D382+D381+D380+D379</f>
        <v>13765</v>
      </c>
      <c r="E378" s="249">
        <f t="shared" si="15"/>
        <v>16102</v>
      </c>
      <c r="F378" s="251">
        <f t="shared" si="15"/>
        <v>292.02280000000002</v>
      </c>
      <c r="G378" s="251">
        <f t="shared" si="15"/>
        <v>16698.389090000001</v>
      </c>
      <c r="H378" s="251">
        <f>H382+H381+H380+H379</f>
        <v>-596.38908999999921</v>
      </c>
      <c r="I378" s="251">
        <f t="shared" si="15"/>
        <v>9877.3664099999987</v>
      </c>
      <c r="J378" s="132"/>
    </row>
    <row r="379" spans="1:10" ht="14.1" customHeight="1" x14ac:dyDescent="0.25">
      <c r="A379" s="216"/>
      <c r="B379" s="74"/>
      <c r="C379" s="253" t="s">
        <v>107</v>
      </c>
      <c r="D379" s="254">
        <v>6472</v>
      </c>
      <c r="E379" s="254">
        <v>8177</v>
      </c>
      <c r="F379" s="255">
        <f>0</f>
        <v>0</v>
      </c>
      <c r="G379" s="255">
        <f>9979.67119</f>
        <v>9979.6711899999991</v>
      </c>
      <c r="H379" s="255">
        <f t="shared" ref="H379:H383" si="16">E379-G379</f>
        <v>-1802.6711899999991</v>
      </c>
      <c r="I379" s="255">
        <f>6442.34329</f>
        <v>6442.3432899999998</v>
      </c>
      <c r="J379" s="132"/>
    </row>
    <row r="380" spans="1:10" ht="14.1" customHeight="1" x14ac:dyDescent="0.25">
      <c r="A380" s="216"/>
      <c r="B380" s="74"/>
      <c r="C380" s="258" t="s">
        <v>21</v>
      </c>
      <c r="D380" s="254">
        <v>1684</v>
      </c>
      <c r="E380" s="254">
        <v>2128</v>
      </c>
      <c r="F380" s="255">
        <f>213.84</f>
        <v>213.84</v>
      </c>
      <c r="G380" s="255">
        <f>1623.83535</f>
        <v>1623.8353500000001</v>
      </c>
      <c r="H380" s="255">
        <f t="shared" si="16"/>
        <v>504.16464999999994</v>
      </c>
      <c r="I380" s="255">
        <f>776.37825</f>
        <v>776.37824999999998</v>
      </c>
      <c r="J380" s="132"/>
    </row>
    <row r="381" spans="1:10" ht="14.1" customHeight="1" x14ac:dyDescent="0.25">
      <c r="A381" s="216"/>
      <c r="B381" s="74"/>
      <c r="C381" s="258" t="s">
        <v>103</v>
      </c>
      <c r="D381" s="254">
        <v>1313</v>
      </c>
      <c r="E381" s="254">
        <v>1357</v>
      </c>
      <c r="F381" s="255">
        <f>45.3924</f>
        <v>45.392400000000002</v>
      </c>
      <c r="G381" s="255">
        <f>1959.62105</f>
        <v>1959.62105</v>
      </c>
      <c r="H381" s="255">
        <f t="shared" si="16"/>
        <v>-602.62104999999997</v>
      </c>
      <c r="I381" s="255">
        <f>1643.18887</f>
        <v>1643.18887</v>
      </c>
      <c r="J381" s="132"/>
    </row>
    <row r="382" spans="1:10" ht="14.1" customHeight="1" x14ac:dyDescent="0.25">
      <c r="A382" s="216"/>
      <c r="B382" s="74"/>
      <c r="C382" s="260" t="s">
        <v>108</v>
      </c>
      <c r="D382" s="261">
        <v>4296</v>
      </c>
      <c r="E382" s="261">
        <v>4440</v>
      </c>
      <c r="F382" s="255">
        <f>32.7904</f>
        <v>32.790399999999998</v>
      </c>
      <c r="G382" s="255">
        <f>3135.2615</f>
        <v>3135.2615000000001</v>
      </c>
      <c r="H382" s="255">
        <f t="shared" si="16"/>
        <v>1304.7384999999999</v>
      </c>
      <c r="I382" s="255">
        <f>1015.456</f>
        <v>1015.456</v>
      </c>
      <c r="J382" s="132"/>
    </row>
    <row r="383" spans="1:10" ht="14.1" customHeight="1" x14ac:dyDescent="0.25">
      <c r="A383" s="216"/>
      <c r="B383" s="74"/>
      <c r="C383" s="263" t="s">
        <v>60</v>
      </c>
      <c r="D383" s="264">
        <v>5500</v>
      </c>
      <c r="E383" s="264">
        <v>5500</v>
      </c>
      <c r="F383" s="266">
        <f>0.165</f>
        <v>0.16500000000000001</v>
      </c>
      <c r="G383" s="266">
        <f>5112.13128</f>
        <v>5112.1312799999996</v>
      </c>
      <c r="H383" s="266">
        <f t="shared" si="16"/>
        <v>387.86872000000039</v>
      </c>
      <c r="I383" s="266">
        <f>4572.37976</f>
        <v>4572.3797599999998</v>
      </c>
      <c r="J383" s="132"/>
    </row>
    <row r="384" spans="1:10" ht="14.1" customHeight="1" x14ac:dyDescent="0.2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142.14275000000001</v>
      </c>
      <c r="G384" s="267">
        <f>G386+G385</f>
        <v>4456.5691800000004</v>
      </c>
      <c r="H384" s="267">
        <f>E384-G384</f>
        <v>3543.4308199999996</v>
      </c>
      <c r="I384" s="267">
        <f>I386+I385</f>
        <v>4686.9755700000005</v>
      </c>
      <c r="J384" s="132"/>
    </row>
    <row r="385" spans="1:10" ht="14.1" customHeight="1" x14ac:dyDescent="0.25">
      <c r="A385" s="216"/>
      <c r="B385" s="74"/>
      <c r="C385" s="258" t="s">
        <v>54</v>
      </c>
      <c r="D385" s="269"/>
      <c r="E385" s="254"/>
      <c r="F385" s="255">
        <f>0</f>
        <v>0</v>
      </c>
      <c r="G385" s="255">
        <f>864.02294</f>
        <v>864.02293999999995</v>
      </c>
      <c r="H385" s="255"/>
      <c r="I385" s="255">
        <f>1158.2507</f>
        <v>1158.2507000000001</v>
      </c>
      <c r="J385" s="132"/>
    </row>
    <row r="386" spans="1:10" ht="14.1" customHeight="1" x14ac:dyDescent="0.25">
      <c r="A386" s="216"/>
      <c r="B386" s="74"/>
      <c r="C386" s="271" t="s">
        <v>109</v>
      </c>
      <c r="D386" s="272"/>
      <c r="E386" s="275"/>
      <c r="F386" s="276">
        <f>142.14275</f>
        <v>142.14275000000001</v>
      </c>
      <c r="G386" s="276">
        <f>3592.54624</f>
        <v>3592.5462400000001</v>
      </c>
      <c r="H386" s="276"/>
      <c r="I386" s="276">
        <f>3528.72487</f>
        <v>3528.72487</v>
      </c>
      <c r="J386" s="132"/>
    </row>
    <row r="387" spans="1:10" ht="14.1" customHeight="1" x14ac:dyDescent="0.25">
      <c r="A387" s="216"/>
      <c r="B387" s="74"/>
      <c r="C387" s="263" t="s">
        <v>34</v>
      </c>
      <c r="D387" s="264">
        <v>10</v>
      </c>
      <c r="E387" s="264">
        <v>10</v>
      </c>
      <c r="F387" s="266">
        <f>0</f>
        <v>0</v>
      </c>
      <c r="G387" s="266">
        <f>0.7485</f>
        <v>0.74850000000000005</v>
      </c>
      <c r="H387" s="266">
        <f>E387-G387</f>
        <v>9.2515000000000001</v>
      </c>
      <c r="I387" s="266">
        <f>0.4968</f>
        <v>0.49680000000000002</v>
      </c>
      <c r="J387" s="132"/>
    </row>
    <row r="388" spans="1:10" ht="14.1" customHeight="1" x14ac:dyDescent="0.25">
      <c r="A388" s="216"/>
      <c r="B388" s="74"/>
      <c r="C388" s="277" t="s">
        <v>110</v>
      </c>
      <c r="D388" s="280"/>
      <c r="E388" s="281"/>
      <c r="F388" s="266">
        <f>0.39652</f>
        <v>0.39651999999999998</v>
      </c>
      <c r="G388" s="266">
        <f>118.04657</f>
        <v>118.04657</v>
      </c>
      <c r="H388" s="266">
        <f>E388-G388</f>
        <v>-118.04657</v>
      </c>
      <c r="I388" s="266">
        <f>240.10036</f>
        <v>240.10035999999999</v>
      </c>
      <c r="J388" s="132"/>
    </row>
    <row r="389" spans="1:10" ht="19.5" customHeight="1" x14ac:dyDescent="0.2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7">F378+F383+F384+F387+F388</f>
        <v>434.72707000000003</v>
      </c>
      <c r="G389" s="285">
        <f t="shared" si="17"/>
        <v>26385.884619999997</v>
      </c>
      <c r="H389" s="285">
        <f>H378+H383+H384+H387+H388</f>
        <v>3226.1153800000006</v>
      </c>
      <c r="I389" s="285">
        <f t="shared" si="17"/>
        <v>19377.318900000002</v>
      </c>
      <c r="J389" s="132"/>
    </row>
    <row r="390" spans="1:10" ht="14.1" customHeight="1" x14ac:dyDescent="0.25">
      <c r="A390" s="216"/>
      <c r="B390" s="74"/>
      <c r="C390" s="163" t="s">
        <v>111</v>
      </c>
      <c r="D390" s="287"/>
      <c r="E390" s="287"/>
      <c r="F390" s="4"/>
      <c r="G390" s="4"/>
      <c r="H390" s="5"/>
      <c r="I390" s="5"/>
      <c r="J390" s="132"/>
    </row>
    <row r="391" spans="1:10" ht="14.1" customHeight="1" x14ac:dyDescent="0.25">
      <c r="A391" s="216"/>
      <c r="B391" s="74"/>
      <c r="C391" s="101" t="s">
        <v>121</v>
      </c>
      <c r="D391" s="287"/>
      <c r="E391" s="287"/>
      <c r="F391" s="4"/>
      <c r="G391" s="4"/>
      <c r="H391" s="7"/>
      <c r="I391" s="5"/>
      <c r="J391" s="132"/>
    </row>
    <row r="392" spans="1:10" ht="14.1" customHeight="1" x14ac:dyDescent="0.25">
      <c r="A392" s="216"/>
      <c r="B392" s="74"/>
      <c r="C392" s="101" t="s">
        <v>122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2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25">
      <c r="A394" s="216"/>
      <c r="B394" s="152" t="s">
        <v>119</v>
      </c>
      <c r="C394" s="14"/>
      <c r="D394" s="1"/>
      <c r="E394" s="1"/>
      <c r="F394" s="1"/>
      <c r="G394" s="1"/>
      <c r="H394" s="1"/>
      <c r="I394" s="1"/>
      <c r="J394" s="152"/>
    </row>
    <row r="395" spans="1:10" ht="296.25" customHeight="1" x14ac:dyDescent="0.25">
      <c r="A395" s="216"/>
      <c r="B395" s="152" t="s">
        <v>119</v>
      </c>
      <c r="C395" s="14"/>
      <c r="D395" s="1"/>
      <c r="E395" s="1"/>
      <c r="F395" s="1"/>
      <c r="G395" s="1"/>
      <c r="H395" s="1"/>
      <c r="I395" s="1"/>
      <c r="J395" s="152"/>
    </row>
    <row r="396" spans="1:10" ht="14.1" customHeight="1" x14ac:dyDescent="0.25">
      <c r="A396" s="216"/>
      <c r="C396" s="152" t="s">
        <v>119</v>
      </c>
      <c r="D396" s="159"/>
    </row>
    <row r="397" spans="1:10" ht="14.1" customHeight="1" x14ac:dyDescent="0.2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" customHeight="1" x14ac:dyDescent="0.25">
      <c r="A398" s="216"/>
      <c r="B398" s="74"/>
      <c r="C398" s="217" t="s">
        <v>112</v>
      </c>
      <c r="D398" s="159"/>
      <c r="E398" s="152"/>
      <c r="G398" s="152"/>
      <c r="H398" s="152"/>
      <c r="I398" s="152"/>
      <c r="J398" s="132"/>
    </row>
    <row r="399" spans="1:10" ht="14.1" customHeight="1" x14ac:dyDescent="0.25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" customHeight="1" x14ac:dyDescent="0.25">
      <c r="A400" s="216"/>
      <c r="B400" s="74"/>
      <c r="C400" s="151" t="s">
        <v>113</v>
      </c>
      <c r="D400" s="187"/>
      <c r="E400" s="152"/>
      <c r="F400" s="152"/>
      <c r="G400" s="152"/>
      <c r="H400" s="152"/>
      <c r="I400" s="152"/>
      <c r="J400" s="132"/>
    </row>
    <row r="401" spans="1:10" ht="14.1" customHeight="1" x14ac:dyDescent="0.25">
      <c r="A401" s="216"/>
      <c r="B401" s="74"/>
      <c r="C401" s="257" t="s">
        <v>6</v>
      </c>
      <c r="D401" s="268"/>
      <c r="E401" s="152"/>
      <c r="F401" s="152"/>
      <c r="G401" s="152"/>
      <c r="H401" s="152"/>
      <c r="I401" s="152"/>
      <c r="J401" s="132"/>
    </row>
    <row r="402" spans="1:10" ht="14.1" customHeight="1" x14ac:dyDescent="0.25">
      <c r="A402" s="216"/>
      <c r="B402" s="74"/>
      <c r="C402" s="246" t="s">
        <v>92</v>
      </c>
      <c r="D402" s="46"/>
      <c r="E402" s="152"/>
      <c r="G402" s="152"/>
      <c r="H402" s="152"/>
      <c r="I402" s="152"/>
      <c r="J402" s="132"/>
    </row>
    <row r="403" spans="1:10" ht="14.1" customHeight="1" x14ac:dyDescent="0.25">
      <c r="A403" s="216"/>
      <c r="B403" s="74"/>
      <c r="C403" s="246" t="s">
        <v>75</v>
      </c>
      <c r="D403" s="46"/>
      <c r="E403" s="152"/>
      <c r="F403" s="152"/>
      <c r="G403" s="152"/>
      <c r="H403" s="152"/>
      <c r="I403" s="152"/>
      <c r="J403" s="132"/>
    </row>
    <row r="404" spans="1:10" ht="14.1" customHeight="1" x14ac:dyDescent="0.25">
      <c r="A404" s="216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" customHeight="1" x14ac:dyDescent="0.25">
      <c r="A405" s="216"/>
      <c r="B405" s="74"/>
      <c r="C405" s="226"/>
      <c r="D405" s="147"/>
      <c r="E405" s="152"/>
      <c r="F405" s="152"/>
      <c r="G405" s="152"/>
      <c r="H405" s="152"/>
      <c r="I405" s="152"/>
      <c r="J405" s="132"/>
    </row>
    <row r="406" spans="1:10" ht="14.1" customHeight="1" x14ac:dyDescent="0.2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" customHeight="1" x14ac:dyDescent="0.2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" customHeight="1" x14ac:dyDescent="0.25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25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25">
      <c r="A410" s="216"/>
      <c r="B410" s="200"/>
      <c r="C410" s="20" t="s">
        <v>114</v>
      </c>
      <c r="D410" s="22" t="s">
        <v>115</v>
      </c>
      <c r="E410" s="20" t="s">
        <v>142</v>
      </c>
      <c r="F410" s="20" t="s">
        <v>143</v>
      </c>
      <c r="G410" s="25" t="s">
        <v>144</v>
      </c>
      <c r="H410" s="20" t="s">
        <v>145</v>
      </c>
      <c r="I410" s="222"/>
      <c r="J410" s="13"/>
    </row>
    <row r="411" spans="1:10" ht="14.1" customHeight="1" x14ac:dyDescent="0.25">
      <c r="A411" s="216"/>
      <c r="B411" s="74"/>
      <c r="C411" s="263" t="s">
        <v>116</v>
      </c>
      <c r="D411" s="10"/>
      <c r="E411" s="26">
        <f>E413+E412</f>
        <v>0</v>
      </c>
      <c r="F411" s="26">
        <f>F413+F412</f>
        <v>2196.7471299999997</v>
      </c>
      <c r="G411" s="87"/>
      <c r="H411" s="26">
        <f>SUM(H412:H413)</f>
        <v>1387.6323299999999</v>
      </c>
      <c r="I411" s="27"/>
      <c r="J411" s="132"/>
    </row>
    <row r="412" spans="1:10" ht="14.1" customHeight="1" x14ac:dyDescent="0.25">
      <c r="A412" s="216"/>
      <c r="B412" s="74"/>
      <c r="C412" s="29" t="s">
        <v>8</v>
      </c>
      <c r="D412" s="206"/>
      <c r="E412" s="207">
        <f>0</f>
        <v>0</v>
      </c>
      <c r="F412" s="207">
        <f>1713.27513</f>
        <v>1713.27513</v>
      </c>
      <c r="G412" s="208"/>
      <c r="H412" s="207">
        <f>1082.54115</f>
        <v>1082.54115</v>
      </c>
      <c r="I412" s="152"/>
      <c r="J412" s="132"/>
    </row>
    <row r="413" spans="1:10" ht="14.1" customHeight="1" x14ac:dyDescent="0.25">
      <c r="A413" s="216"/>
      <c r="B413" s="74"/>
      <c r="C413" s="29" t="s">
        <v>11</v>
      </c>
      <c r="D413" s="209"/>
      <c r="E413" s="210">
        <f>0</f>
        <v>0</v>
      </c>
      <c r="F413" s="210">
        <f>483.472</f>
        <v>483.47199999999998</v>
      </c>
      <c r="G413" s="211"/>
      <c r="H413" s="210">
        <f>305.09118</f>
        <v>305.09118000000001</v>
      </c>
      <c r="I413" s="152"/>
      <c r="J413" s="132"/>
    </row>
    <row r="414" spans="1:10" ht="14.1" customHeight="1" x14ac:dyDescent="0.25">
      <c r="A414" s="216"/>
      <c r="B414" s="74"/>
      <c r="C414" s="263" t="s">
        <v>117</v>
      </c>
      <c r="D414" s="10"/>
      <c r="E414" s="26">
        <f>SUM(E415:E416)</f>
        <v>0</v>
      </c>
      <c r="F414" s="26">
        <f>SUM(F415:F416)</f>
        <v>1462.6298499999998</v>
      </c>
      <c r="G414" s="87"/>
      <c r="H414" s="26">
        <f>SUM(H415:H416)</f>
        <v>1811.0628700000002</v>
      </c>
      <c r="I414" s="27"/>
      <c r="J414" s="132"/>
    </row>
    <row r="415" spans="1:10" ht="14.1" customHeight="1" x14ac:dyDescent="0.25">
      <c r="A415" s="216"/>
      <c r="B415" s="74"/>
      <c r="C415" s="29" t="s">
        <v>8</v>
      </c>
      <c r="D415" s="44"/>
      <c r="E415" s="30">
        <f>0</f>
        <v>0</v>
      </c>
      <c r="F415" s="30">
        <f>1123.27877</f>
        <v>1123.2787699999999</v>
      </c>
      <c r="G415" s="99"/>
      <c r="H415" s="30">
        <f>1413.4299</f>
        <v>1413.4299000000001</v>
      </c>
      <c r="I415" s="152"/>
      <c r="J415" s="132"/>
    </row>
    <row r="416" spans="1:10" ht="14.1" customHeight="1" x14ac:dyDescent="0.25">
      <c r="A416" s="216"/>
      <c r="B416" s="74"/>
      <c r="C416" s="29" t="s">
        <v>11</v>
      </c>
      <c r="D416" s="219"/>
      <c r="E416" s="30">
        <f>0</f>
        <v>0</v>
      </c>
      <c r="F416" s="30">
        <f>339.35108</f>
        <v>339.35108000000002</v>
      </c>
      <c r="G416" s="110"/>
      <c r="H416" s="30">
        <f>397.63297</f>
        <v>397.63297</v>
      </c>
      <c r="I416" s="152"/>
      <c r="J416" s="132"/>
    </row>
    <row r="417" spans="1:10" ht="14.1" customHeight="1" x14ac:dyDescent="0.25">
      <c r="A417" s="216"/>
      <c r="B417" s="74"/>
      <c r="C417" s="263" t="s">
        <v>118</v>
      </c>
      <c r="D417" s="10"/>
      <c r="E417" s="36">
        <f>SUM(E418:E419)</f>
        <v>32.099299999999999</v>
      </c>
      <c r="F417" s="36">
        <f>SUM(F418:F419)</f>
        <v>416.58323999999999</v>
      </c>
      <c r="G417" s="87"/>
      <c r="H417" s="36">
        <f>SUM(H418:H419)</f>
        <v>862.77052000000003</v>
      </c>
      <c r="I417" s="152"/>
      <c r="J417" s="132"/>
    </row>
    <row r="418" spans="1:10" ht="14.1" customHeight="1" x14ac:dyDescent="0.25">
      <c r="A418" s="216"/>
      <c r="B418" s="74"/>
      <c r="C418" s="29" t="s">
        <v>8</v>
      </c>
      <c r="D418" s="44"/>
      <c r="E418" s="30">
        <f>25.1715</f>
        <v>25.171500000000002</v>
      </c>
      <c r="F418" s="30">
        <f>310.37863</f>
        <v>310.37862999999999</v>
      </c>
      <c r="G418" s="99"/>
      <c r="H418" s="30">
        <f>682.09428</f>
        <v>682.09428000000003</v>
      </c>
      <c r="I418" s="152"/>
      <c r="J418" s="132"/>
    </row>
    <row r="419" spans="1:10" ht="14.1" customHeight="1" x14ac:dyDescent="0.25">
      <c r="A419" s="216"/>
      <c r="B419" s="74"/>
      <c r="C419" s="29" t="s">
        <v>11</v>
      </c>
      <c r="D419" s="219"/>
      <c r="E419" s="30">
        <f>6.9278</f>
        <v>6.9278000000000004</v>
      </c>
      <c r="F419" s="30">
        <f>106.20461</f>
        <v>106.20461</v>
      </c>
      <c r="G419" s="110"/>
      <c r="H419" s="30">
        <f>180.67624</f>
        <v>180.67624000000001</v>
      </c>
      <c r="I419" s="152"/>
      <c r="J419" s="132"/>
    </row>
    <row r="420" spans="1:10" ht="14.1" customHeight="1" x14ac:dyDescent="0.25">
      <c r="A420" s="216"/>
      <c r="B420" s="74"/>
      <c r="C420" s="277" t="s">
        <v>98</v>
      </c>
      <c r="D420" s="37"/>
      <c r="E420" s="39"/>
      <c r="F420" s="39"/>
      <c r="G420" s="40"/>
      <c r="H420" s="39"/>
      <c r="I420" s="152"/>
      <c r="J420" s="132"/>
    </row>
    <row r="421" spans="1:10" ht="14.1" customHeight="1" x14ac:dyDescent="0.25">
      <c r="A421" s="216"/>
      <c r="B421" s="74"/>
      <c r="C421" s="283" t="s">
        <v>88</v>
      </c>
      <c r="D421" s="41"/>
      <c r="E421" s="42">
        <f>E411+E414+E417+E420</f>
        <v>32.099299999999999</v>
      </c>
      <c r="F421" s="42">
        <f>F411+F414+F417+F420</f>
        <v>4075.9602199999995</v>
      </c>
      <c r="G421" s="43"/>
      <c r="H421" s="42">
        <f>H411+H414+H417+H420</f>
        <v>4061.4657200000001</v>
      </c>
      <c r="I421" s="27"/>
      <c r="J421" s="132"/>
    </row>
    <row r="422" spans="1:10" ht="18.75" customHeight="1" x14ac:dyDescent="0.25">
      <c r="A422" s="216"/>
      <c r="B422" s="74"/>
      <c r="C422" s="152" t="s">
        <v>140</v>
      </c>
      <c r="D422" s="159"/>
      <c r="E422" s="152"/>
      <c r="F422" s="152"/>
      <c r="G422" s="152"/>
      <c r="H422" s="152"/>
      <c r="I422" s="152"/>
      <c r="J422" s="132"/>
    </row>
    <row r="423" spans="1:10" ht="14.1" customHeight="1" x14ac:dyDescent="0.25">
      <c r="A423" s="216"/>
      <c r="B423" s="8"/>
      <c r="C423" s="212" t="s">
        <v>141</v>
      </c>
      <c r="D423" s="202"/>
      <c r="E423" s="212"/>
      <c r="F423" s="212"/>
      <c r="G423" s="212"/>
      <c r="H423" s="212"/>
      <c r="I423" s="212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44&amp;R06.11.2023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2023-11-06T11:13:00Z</dcterms:modified>
</cp:coreProperties>
</file>