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DD92C05C-3D96-4FF1-9A2B-968A4910B5B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22" i="1"/>
  <c r="F422" i="1"/>
  <c r="G422" i="1" s="1"/>
  <c r="E422" i="1"/>
  <c r="H421" i="1"/>
  <c r="F421" i="1"/>
  <c r="E421" i="1"/>
  <c r="E419" i="1" s="1"/>
  <c r="H420" i="1"/>
  <c r="H419" i="1" s="1"/>
  <c r="F420" i="1"/>
  <c r="E420" i="1"/>
  <c r="F419" i="1"/>
  <c r="G419" i="1" s="1"/>
  <c r="H418" i="1"/>
  <c r="F418" i="1"/>
  <c r="F416" i="1" s="1"/>
  <c r="G416" i="1" s="1"/>
  <c r="E418" i="1"/>
  <c r="H417" i="1"/>
  <c r="F417" i="1"/>
  <c r="E417" i="1"/>
  <c r="E416" i="1" s="1"/>
  <c r="H416" i="1"/>
  <c r="H415" i="1"/>
  <c r="H413" i="1" s="1"/>
  <c r="F415" i="1"/>
  <c r="F413" i="1" s="1"/>
  <c r="E415" i="1"/>
  <c r="H414" i="1"/>
  <c r="F414" i="1"/>
  <c r="E414" i="1"/>
  <c r="E413" i="1" s="1"/>
  <c r="I390" i="1"/>
  <c r="G390" i="1"/>
  <c r="H390" i="1" s="1"/>
  <c r="F390" i="1"/>
  <c r="I389" i="1"/>
  <c r="G389" i="1"/>
  <c r="H389" i="1" s="1"/>
  <c r="F389" i="1"/>
  <c r="I388" i="1"/>
  <c r="I386" i="1" s="1"/>
  <c r="G388" i="1"/>
  <c r="G386" i="1" s="1"/>
  <c r="H386" i="1" s="1"/>
  <c r="F388" i="1"/>
  <c r="F386" i="1" s="1"/>
  <c r="I387" i="1"/>
  <c r="G387" i="1"/>
  <c r="F387" i="1"/>
  <c r="I385" i="1"/>
  <c r="G385" i="1"/>
  <c r="H385" i="1" s="1"/>
  <c r="F385" i="1"/>
  <c r="I384" i="1"/>
  <c r="G384" i="1"/>
  <c r="H384" i="1" s="1"/>
  <c r="F384" i="1"/>
  <c r="I383" i="1"/>
  <c r="G383" i="1"/>
  <c r="H383" i="1" s="1"/>
  <c r="F383" i="1"/>
  <c r="I382" i="1"/>
  <c r="G382" i="1"/>
  <c r="H382" i="1" s="1"/>
  <c r="F382" i="1"/>
  <c r="I381" i="1"/>
  <c r="H381" i="1"/>
  <c r="G381" i="1"/>
  <c r="F381" i="1"/>
  <c r="G380" i="1"/>
  <c r="F380" i="1"/>
  <c r="D380" i="1"/>
  <c r="D391" i="1" s="1"/>
  <c r="H372" i="1"/>
  <c r="F372" i="1"/>
  <c r="E354" i="1"/>
  <c r="D354" i="1"/>
  <c r="H353" i="1"/>
  <c r="F353" i="1"/>
  <c r="G353" i="1" s="1"/>
  <c r="E353" i="1"/>
  <c r="H352" i="1"/>
  <c r="F352" i="1"/>
  <c r="G352" i="1" s="1"/>
  <c r="E352" i="1"/>
  <c r="H351" i="1"/>
  <c r="F351" i="1"/>
  <c r="G351" i="1" s="1"/>
  <c r="E351" i="1"/>
  <c r="H350" i="1"/>
  <c r="F350" i="1"/>
  <c r="E350" i="1"/>
  <c r="D343" i="1"/>
  <c r="D299" i="1"/>
  <c r="H298" i="1"/>
  <c r="F298" i="1"/>
  <c r="G298" i="1" s="1"/>
  <c r="E298" i="1"/>
  <c r="H297" i="1"/>
  <c r="F297" i="1"/>
  <c r="E297" i="1"/>
  <c r="H296" i="1"/>
  <c r="H295" i="1" s="1"/>
  <c r="F296" i="1"/>
  <c r="F295" i="1" s="1"/>
  <c r="E296" i="1"/>
  <c r="E295" i="1" s="1"/>
  <c r="E299" i="1" s="1"/>
  <c r="D253" i="1"/>
  <c r="H252" i="1"/>
  <c r="F252" i="1"/>
  <c r="G252" i="1" s="1"/>
  <c r="E252" i="1"/>
  <c r="H251" i="1"/>
  <c r="H249" i="1" s="1"/>
  <c r="H253" i="1" s="1"/>
  <c r="F251" i="1"/>
  <c r="F249" i="1" s="1"/>
  <c r="G249" i="1" s="1"/>
  <c r="E251" i="1"/>
  <c r="E249" i="1" s="1"/>
  <c r="E253" i="1" s="1"/>
  <c r="H250" i="1"/>
  <c r="F250" i="1"/>
  <c r="E250" i="1"/>
  <c r="D207" i="1"/>
  <c r="H206" i="1"/>
  <c r="G206" i="1"/>
  <c r="F206" i="1"/>
  <c r="E206" i="1"/>
  <c r="H205" i="1"/>
  <c r="F205" i="1"/>
  <c r="G205" i="1" s="1"/>
  <c r="E205" i="1"/>
  <c r="H204" i="1"/>
  <c r="F204" i="1"/>
  <c r="F207" i="1" s="1"/>
  <c r="E204" i="1"/>
  <c r="E207" i="1" s="1"/>
  <c r="D184" i="1"/>
  <c r="H183" i="1"/>
  <c r="F183" i="1"/>
  <c r="G183" i="1" s="1"/>
  <c r="E183" i="1"/>
  <c r="H182" i="1"/>
  <c r="G182" i="1"/>
  <c r="F182" i="1"/>
  <c r="E182" i="1"/>
  <c r="H181" i="1"/>
  <c r="F181" i="1"/>
  <c r="E181" i="1"/>
  <c r="H180" i="1"/>
  <c r="F180" i="1"/>
  <c r="E180" i="1"/>
  <c r="H179" i="1"/>
  <c r="F179" i="1"/>
  <c r="F178" i="1" s="1"/>
  <c r="G178" i="1" s="1"/>
  <c r="E179" i="1"/>
  <c r="H177" i="1"/>
  <c r="F177" i="1"/>
  <c r="G177" i="1" s="1"/>
  <c r="E177" i="1"/>
  <c r="H176" i="1"/>
  <c r="F176" i="1"/>
  <c r="E176" i="1"/>
  <c r="H175" i="1"/>
  <c r="F175" i="1"/>
  <c r="F184" i="1" s="1"/>
  <c r="G184" i="1" s="1"/>
  <c r="E175" i="1"/>
  <c r="D169" i="1"/>
  <c r="D167" i="1"/>
  <c r="I148" i="1"/>
  <c r="H148" i="1"/>
  <c r="G148" i="1"/>
  <c r="F148" i="1"/>
  <c r="I147" i="1"/>
  <c r="H147" i="1"/>
  <c r="G147" i="1"/>
  <c r="F147" i="1"/>
  <c r="H146" i="1"/>
  <c r="I145" i="1"/>
  <c r="G145" i="1"/>
  <c r="H145" i="1" s="1"/>
  <c r="F145" i="1"/>
  <c r="I144" i="1"/>
  <c r="H144" i="1"/>
  <c r="G144" i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G140" i="1"/>
  <c r="G139" i="1" s="1"/>
  <c r="F140" i="1"/>
  <c r="F139" i="1" s="1"/>
  <c r="E139" i="1"/>
  <c r="D139" i="1"/>
  <c r="I138" i="1"/>
  <c r="H138" i="1"/>
  <c r="F138" i="1"/>
  <c r="I137" i="1"/>
  <c r="H137" i="1"/>
  <c r="F137" i="1"/>
  <c r="I136" i="1"/>
  <c r="H136" i="1"/>
  <c r="F136" i="1"/>
  <c r="I135" i="1"/>
  <c r="G134" i="1"/>
  <c r="F135" i="1"/>
  <c r="F134" i="1" s="1"/>
  <c r="E134" i="1"/>
  <c r="E133" i="1" s="1"/>
  <c r="E150" i="1" s="1"/>
  <c r="D134" i="1"/>
  <c r="D133" i="1" s="1"/>
  <c r="I132" i="1"/>
  <c r="H132" i="1"/>
  <c r="F132" i="1"/>
  <c r="I131" i="1"/>
  <c r="G131" i="1"/>
  <c r="H131" i="1" s="1"/>
  <c r="F131" i="1"/>
  <c r="I130" i="1"/>
  <c r="G130" i="1"/>
  <c r="F130" i="1"/>
  <c r="I129" i="1"/>
  <c r="G129" i="1"/>
  <c r="H129" i="1" s="1"/>
  <c r="F129" i="1"/>
  <c r="F128" i="1" s="1"/>
  <c r="I128" i="1"/>
  <c r="E128" i="1"/>
  <c r="D128" i="1"/>
  <c r="D150" i="1" s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F97" i="1"/>
  <c r="F96" i="1" s="1"/>
  <c r="F95" i="1" s="1"/>
  <c r="I96" i="1"/>
  <c r="I95" i="1" s="1"/>
  <c r="E96" i="1"/>
  <c r="E95" i="1" s="1"/>
  <c r="D96" i="1"/>
  <c r="D95" i="1" s="1"/>
  <c r="I94" i="1"/>
  <c r="H94" i="1"/>
  <c r="H92" i="1" s="1"/>
  <c r="G94" i="1"/>
  <c r="F94" i="1"/>
  <c r="I93" i="1"/>
  <c r="I92" i="1" s="1"/>
  <c r="H93" i="1"/>
  <c r="G93" i="1"/>
  <c r="F93" i="1"/>
  <c r="G92" i="1"/>
  <c r="E92" i="1"/>
  <c r="D92" i="1"/>
  <c r="C89" i="1"/>
  <c r="H85" i="1"/>
  <c r="F85" i="1"/>
  <c r="D85" i="1"/>
  <c r="G61" i="1"/>
  <c r="G60" i="1"/>
  <c r="H55" i="1"/>
  <c r="F55" i="1"/>
  <c r="G32" i="1" s="1"/>
  <c r="H32" i="1" s="1"/>
  <c r="E55" i="1"/>
  <c r="F32" i="1" s="1"/>
  <c r="I43" i="1"/>
  <c r="G43" i="1"/>
  <c r="H43" i="1" s="1"/>
  <c r="F43" i="1"/>
  <c r="H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G35" i="1"/>
  <c r="H35" i="1" s="1"/>
  <c r="F35" i="1"/>
  <c r="E35" i="1"/>
  <c r="D34" i="1"/>
  <c r="I33" i="1"/>
  <c r="G33" i="1"/>
  <c r="H33" i="1" s="1"/>
  <c r="F33" i="1"/>
  <c r="I32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I27" i="1" s="1"/>
  <c r="G28" i="1"/>
  <c r="H28" i="1" s="1"/>
  <c r="F28" i="1"/>
  <c r="E27" i="1"/>
  <c r="E26" i="1" s="1"/>
  <c r="D27" i="1"/>
  <c r="D26" i="1" s="1"/>
  <c r="I25" i="1"/>
  <c r="I23" i="1" s="1"/>
  <c r="H25" i="1"/>
  <c r="G25" i="1"/>
  <c r="F25" i="1"/>
  <c r="I24" i="1"/>
  <c r="G24" i="1"/>
  <c r="G23" i="1" s="1"/>
  <c r="F24" i="1"/>
  <c r="F23" i="1"/>
  <c r="E23" i="1"/>
  <c r="D23" i="1"/>
  <c r="D44" i="1" s="1"/>
  <c r="H16" i="1"/>
  <c r="F16" i="1"/>
  <c r="D16" i="1"/>
  <c r="H27" i="1" l="1"/>
  <c r="F423" i="1"/>
  <c r="G413" i="1"/>
  <c r="H423" i="1"/>
  <c r="F133" i="1"/>
  <c r="F150" i="1" s="1"/>
  <c r="G55" i="1"/>
  <c r="D107" i="1"/>
  <c r="G133" i="1"/>
  <c r="H140" i="1"/>
  <c r="H139" i="1" s="1"/>
  <c r="G175" i="1"/>
  <c r="H207" i="1"/>
  <c r="H299" i="1"/>
  <c r="I134" i="1"/>
  <c r="I133" i="1" s="1"/>
  <c r="G204" i="1"/>
  <c r="E178" i="1"/>
  <c r="E184" i="1" s="1"/>
  <c r="F354" i="1"/>
  <c r="I380" i="1"/>
  <c r="I391" i="1" s="1"/>
  <c r="E423" i="1"/>
  <c r="F27" i="1"/>
  <c r="G96" i="1"/>
  <c r="G95" i="1" s="1"/>
  <c r="G350" i="1"/>
  <c r="F92" i="1"/>
  <c r="F107" i="1" s="1"/>
  <c r="H97" i="1"/>
  <c r="H96" i="1" s="1"/>
  <c r="H95" i="1" s="1"/>
  <c r="H107" i="1" s="1"/>
  <c r="G128" i="1"/>
  <c r="H184" i="1"/>
  <c r="H178" i="1"/>
  <c r="H354" i="1"/>
  <c r="I107" i="1"/>
  <c r="G391" i="1"/>
  <c r="G27" i="1"/>
  <c r="F34" i="1"/>
  <c r="F26" i="1" s="1"/>
  <c r="F44" i="1" s="1"/>
  <c r="I34" i="1"/>
  <c r="E107" i="1"/>
  <c r="G295" i="1"/>
  <c r="F299" i="1"/>
  <c r="G299" i="1" s="1"/>
  <c r="G107" i="1"/>
  <c r="G207" i="1"/>
  <c r="G354" i="1"/>
  <c r="H128" i="1"/>
  <c r="G150" i="1"/>
  <c r="F391" i="1"/>
  <c r="E44" i="1"/>
  <c r="I26" i="1"/>
  <c r="I44" i="1" s="1"/>
  <c r="I150" i="1"/>
  <c r="H380" i="1"/>
  <c r="H391" i="1" s="1"/>
  <c r="G34" i="1"/>
  <c r="H130" i="1"/>
  <c r="H135" i="1"/>
  <c r="H134" i="1" s="1"/>
  <c r="H133" i="1" s="1"/>
  <c r="H24" i="1"/>
  <c r="H23" i="1" s="1"/>
  <c r="F253" i="1"/>
  <c r="G253" i="1" s="1"/>
  <c r="H150" i="1" l="1"/>
  <c r="H34" i="1"/>
  <c r="H26" i="1" s="1"/>
  <c r="H44" i="1" s="1"/>
  <c r="G26" i="1"/>
  <c r="G44" i="1" s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<sst xmlns="http://schemas.openxmlformats.org/spreadsheetml/2006/main" count="359" uniqueCount="152">
  <si>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</si>
  <si>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</si>
  <si>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</si>
  <si>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</si>
  <si>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</si>
  <si>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</si>
  <si>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</si>
  <si>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</si>
  <si>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</si>
  <si>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</si>
  <si>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</si>
  <si>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</si>
  <si>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</si>
  <si>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</si>
  <si>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</si>
  <si>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</si>
  <si>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</si>
  <si>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</si>
  <si>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</si>
  <si>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</si>
  <si>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</si>
  <si>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</si>
  <si>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</si>
  <si>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</si>
  <si>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</si>
  <si>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</si>
  <si>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</si>
  <si>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</si>
  <si>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</si>
  <si>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</si>
  <si>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</si>
  <si>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</si>
  <si>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</si>
  <si>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</si>
  <si>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</si>
  <si>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</si>
  <si>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</si>
  <si>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</si>
  <si>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</si>
  <si>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</si>
  <si>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</si>
  <si>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</si>
  <si>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</si>
  <si>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</si>
  <si>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</si>
  <si>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</si>
  <si>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</si>
  <si>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</si>
  <si>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</si>
  <si>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</si>
  <si>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</si>
  <si>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</si>
  <si>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</si>
  <si>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</si>
  <si>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</si>
  <si>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</si>
  <si>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</si>
  <si>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</si>
  <si>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</si>
  <si>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</si>
  <si>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</si>
  <si>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</si>
  <si>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</si>
  <si>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</si>
  <si>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</si>
  <si>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</si>
  <si>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</si>
  <si>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</si>
  <si>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</si>
  <si>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</si>
  <si>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</si>
  <si>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</si>
  <si>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</si>
  <si>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</si>
  <si>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</si>
  <si>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</si>
  <si>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</si>
  <si>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</si>
  <si>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</si>
  <si>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</si>
  <si>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</si>
  <si>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</si>
  <si>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</si>
  <si>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</si>
  <si>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</si>
  <si>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</si>
  <si>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</si>
  <si>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</si>
  <si>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</si>
  <si>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</si>
  <si>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</si>
  <si>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</si>
  <si>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</si>
  <si>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</si>
  <si>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</si>
  <si>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</si>
  <si>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</si>
  <si>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</si>
  <si>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</si>
  <si>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</si>
  <si>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</si>
  <si>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</si>
  <si>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</si>
  <si>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</si>
  <si>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</si>
  <si>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</si>
  <si>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</si>
  <si>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</si>
  <si>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</si>
  <si>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</si>
  <si>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</si>
  <si>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</si>
  <si>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</si>
  <si>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</si>
  <si>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</si>
  <si>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</si>
  <si>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</si>
  <si>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</si>
  <si>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</si>
  <si>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</si>
  <si>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</si>
  <si>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</si>
  <si>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</si>
  <si>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</si>
  <si>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</si>
  <si>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</si>
  <si>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</si>
  <si>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</si>
  <si>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</si>
  <si>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</si>
  <si>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</si>
  <si>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</si>
  <si>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</si>
  <si>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</si>
  <si>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</si>
  <si>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</si>
  <si>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</si>
  <si>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</si>
  <si>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</si>
  <si>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</si>
  <si>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</si>
  <si>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</si>
  <si>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</si>
  <si>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</si>
  <si>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t>2 Registrert rekreasjonsfiske utgjør 48 tonn, men det legges til grunn at hele avsetningen tas</t>
  </si>
  <si>
    <t>4 Registrert rekreasjonsfiske utgjør 246 tonn, men det legges til grunn at hele avsetningen tas</t>
  </si>
  <si>
    <t>3 Registrert rekreasjonsfiske utgjør 627 tonn, men det legges til grunn at hele avsetningen tas</t>
  </si>
  <si>
    <t>FANGST UKE 25</t>
  </si>
  <si>
    <t>FANGST T.O.M UKE 25</t>
  </si>
  <si>
    <t>RESTKVOTER UKE 25</t>
  </si>
  <si>
    <t>FANGST T.O.M UKE 25 2023</t>
  </si>
  <si>
    <r>
      <t>3</t>
    </r>
    <r>
      <rPr>
        <sz val="9"/>
        <color indexed="8"/>
        <rFont val="Calibri"/>
        <family val="2"/>
      </rPr>
      <t xml:space="preserve"> Det er fisket 2 183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</si>
</sst>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85" zoomScaleNormal="85" zoomScaleSheetLayoutView="100" zoomScalePageLayoutView="85" workbookViewId="0">
      <selection activeCell="G19" sqref="G19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2" t="s">
        <v>122</v>
      </c>
      <c r="C2" s="303"/>
      <c r="D2" s="303"/>
      <c r="E2" s="303"/>
      <c r="F2" s="303"/>
      <c r="G2" s="303"/>
      <c r="H2" s="303"/>
      <c r="I2" s="303"/>
      <c r="J2" s="30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301" t="s">
        <v>141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88.965000000000003</v>
      </c>
      <c r="G23" s="28">
        <f t="shared" si="0"/>
        <v>36677.152770000001</v>
      </c>
      <c r="H23" s="11">
        <f t="shared" si="0"/>
        <v>24134.847229999999</v>
      </c>
      <c r="I23" s="11">
        <f t="shared" si="0"/>
        <v>47414.631970000002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60.7545</f>
        <v>60.7545</v>
      </c>
      <c r="G24" s="23">
        <f>36155.18898</f>
        <v>36155.188979999999</v>
      </c>
      <c r="H24" s="23">
        <f>E24-G24</f>
        <v>23886.811020000001</v>
      </c>
      <c r="I24" s="23">
        <f>47177.97673</f>
        <v>47177.976730000002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28.2105</f>
        <v>28.2105</v>
      </c>
      <c r="G25" s="23">
        <f>521.96379</f>
        <v>521.96379000000002</v>
      </c>
      <c r="H25" s="23">
        <f>E25-G25</f>
        <v>248.03620999999998</v>
      </c>
      <c r="I25" s="23">
        <f>236.65524</f>
        <v>236.65523999999999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348.09287000000006</v>
      </c>
      <c r="G26" s="11">
        <f t="shared" si="1"/>
        <v>116065.62919000001</v>
      </c>
      <c r="H26" s="11">
        <f t="shared" si="1"/>
        <v>28808.37081</v>
      </c>
      <c r="I26" s="11">
        <f t="shared" si="1"/>
        <v>163783.00519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281.31206000000003</v>
      </c>
      <c r="G27" s="132">
        <f t="shared" ref="G27:I27" si="2">G28+G29+G30+G31+G32</f>
        <v>94910.891810000001</v>
      </c>
      <c r="H27" s="132">
        <f t="shared" si="2"/>
        <v>18067.108189999999</v>
      </c>
      <c r="I27" s="132">
        <f t="shared" si="2"/>
        <v>130274.28550000001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56.67573</f>
        <v>56.675730000000001</v>
      </c>
      <c r="G28" s="127">
        <f>25350.88032 - F56</f>
        <v>25350.88032</v>
      </c>
      <c r="H28" s="127">
        <f t="shared" ref="H28:H40" si="3">E28-G28</f>
        <v>3279.1196799999998</v>
      </c>
      <c r="I28" s="127">
        <f>35886.50078 - H56</f>
        <v>35886.500780000002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81.89253</f>
        <v>81.892529999999994</v>
      </c>
      <c r="G29" s="127">
        <f>26710.37853 - F57</f>
        <v>26710.378530000002</v>
      </c>
      <c r="H29" s="127">
        <f t="shared" si="3"/>
        <v>2954.6214699999982</v>
      </c>
      <c r="I29" s="127">
        <f>36795.66954 - H57</f>
        <v>36795.669540000003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87.59616</f>
        <v>87.596159999999998</v>
      </c>
      <c r="G30" s="127">
        <f>24799.37414 - F58</f>
        <v>24799.37414</v>
      </c>
      <c r="H30" s="127">
        <f t="shared" si="3"/>
        <v>2444.6258600000001</v>
      </c>
      <c r="I30" s="127">
        <f>34193.45084 - H58</f>
        <v>34193.450839999998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55.14764</f>
        <v>55.147640000000003</v>
      </c>
      <c r="G31" s="127">
        <f>18050.25882 - F59</f>
        <v>18050.258819999999</v>
      </c>
      <c r="H31" s="127">
        <f t="shared" si="3"/>
        <v>1288.7411800000009</v>
      </c>
      <c r="I31" s="127">
        <f>23398.66434 - H59</f>
        <v>23398.664339999999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0</f>
        <v>0</v>
      </c>
      <c r="G33" s="132">
        <f>9814.5712</f>
        <v>9814.5712000000003</v>
      </c>
      <c r="H33" s="132">
        <f t="shared" si="3"/>
        <v>7044.4287999999997</v>
      </c>
      <c r="I33" s="132">
        <f>13938.05314</f>
        <v>13938.05314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66.780810000000002</v>
      </c>
      <c r="G34" s="132">
        <f>G35+G36</f>
        <v>11340.16618</v>
      </c>
      <c r="H34" s="132">
        <f t="shared" si="3"/>
        <v>3696.8338199999998</v>
      </c>
      <c r="I34" s="132">
        <f>I35+I36</f>
        <v>19570.666550000002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66.78081</f>
        <v>66.780810000000002</v>
      </c>
      <c r="G35" s="132">
        <f>13912.16618 - F60 - F61</f>
        <v>11340.16618</v>
      </c>
      <c r="H35" s="127">
        <f t="shared" si="3"/>
        <v>2736.8338199999998</v>
      </c>
      <c r="I35" s="127">
        <f>23643.66655 - H60 - H61</f>
        <v>19570.666550000002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2.186</f>
        <v>2.1859999999999999</v>
      </c>
      <c r="G38" s="98">
        <f>459.28417</f>
        <v>459.28417000000002</v>
      </c>
      <c r="H38" s="98">
        <f t="shared" si="3"/>
        <v>395.71582999999998</v>
      </c>
      <c r="I38" s="98">
        <f>486.26274</f>
        <v>486.26274000000001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19</v>
      </c>
      <c r="G39" s="98">
        <f>F61</f>
        <v>2572</v>
      </c>
      <c r="H39" s="98">
        <f t="shared" si="3"/>
        <v>428</v>
      </c>
      <c r="I39" s="98">
        <f>H61</f>
        <v>4073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10.52379</f>
        <v>10.52379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0</f>
        <v>0</v>
      </c>
      <c r="G41" s="98">
        <f>317.69341</f>
        <v>317.69340999999997</v>
      </c>
      <c r="H41" s="98">
        <f>E41-G41</f>
        <v>82.306590000000028</v>
      </c>
      <c r="I41" s="98">
        <f>343.88465</f>
        <v>343.88465000000002</v>
      </c>
      <c r="J41" s="243"/>
    </row>
    <row r="42" spans="1:13" ht="17.25" customHeight="1" x14ac:dyDescent="0.25">
      <c r="A42" s="1"/>
      <c r="B42" s="253"/>
      <c r="C42" s="73" t="s">
        <v>129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</f>
        <v>0</v>
      </c>
      <c r="G43" s="139">
        <f>85.43626</f>
        <v>85.436260000000004</v>
      </c>
      <c r="H43" s="139">
        <f t="shared" ref="H43" si="4">E43-G43</f>
        <v>-85.436260000000004</v>
      </c>
      <c r="I43" s="139">
        <f>78.21367</f>
        <v>78.213669999999993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468.76766000000009</v>
      </c>
      <c r="G44" s="76">
        <f t="shared" si="5"/>
        <v>163525.56099999999</v>
      </c>
      <c r="H44" s="76">
        <f t="shared" si="5"/>
        <v>55515.438999999998</v>
      </c>
      <c r="I44" s="76">
        <f t="shared" si="5"/>
        <v>223925.78981999998</v>
      </c>
      <c r="J44" s="243"/>
    </row>
    <row r="45" spans="1:13" ht="14.1" customHeight="1" x14ac:dyDescent="0.25">
      <c r="A45" s="101"/>
      <c r="B45" s="24"/>
      <c r="C45" s="77" t="s">
        <v>130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131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0</v>
      </c>
      <c r="F55" s="11">
        <f>F59+F58+F57+F56</f>
        <v>0</v>
      </c>
      <c r="G55" s="295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/>
      <c r="F56" s="127"/>
      <c r="G56" s="296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/>
      <c r="F57" s="127"/>
      <c r="G57" s="296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/>
      <c r="F58" s="127"/>
      <c r="G58" s="296"/>
      <c r="H58" s="127"/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/>
      <c r="F59" s="192"/>
      <c r="G59" s="297"/>
      <c r="H59" s="192"/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0</v>
      </c>
      <c r="F60" s="95">
        <v>0</v>
      </c>
      <c r="G60" s="95">
        <f>D60-F60</f>
        <v>960</v>
      </c>
      <c r="H60" s="95">
        <v>0</v>
      </c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19</v>
      </c>
      <c r="F61" s="139">
        <v>2572</v>
      </c>
      <c r="G61" s="139">
        <f>D61-F61</f>
        <v>428</v>
      </c>
      <c r="H61" s="139">
        <v>4073</v>
      </c>
      <c r="I61" s="257"/>
      <c r="J61" s="243"/>
    </row>
    <row r="62" spans="1:10" ht="14.1" customHeight="1" x14ac:dyDescent="0.25">
      <c r="A62" s="101"/>
      <c r="B62" s="24"/>
      <c r="C62" s="77" t="s">
        <v>132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16.2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142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48.624499999999998</v>
      </c>
      <c r="G92" s="11">
        <f t="shared" si="6"/>
        <v>22994.986799999999</v>
      </c>
      <c r="H92" s="11">
        <f t="shared" si="6"/>
        <v>2966.0131999999994</v>
      </c>
      <c r="I92" s="11">
        <f t="shared" si="6"/>
        <v>38662.438950000003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48.6245</f>
        <v>48.624499999999998</v>
      </c>
      <c r="G93" s="23">
        <f>22216.74955</f>
        <v>22216.74955</v>
      </c>
      <c r="H93" s="23">
        <f>E93-G93</f>
        <v>2919.2504499999995</v>
      </c>
      <c r="I93" s="23">
        <f>38166.58961</f>
        <v>38166.589610000003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778.23725</f>
        <v>778.23725000000002</v>
      </c>
      <c r="H94" s="50">
        <f>E94-G94</f>
        <v>46.762749999999983</v>
      </c>
      <c r="I94" s="50">
        <f>495.84934</f>
        <v>495.84933999999998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686.91749000000004</v>
      </c>
      <c r="G95" s="11">
        <f t="shared" si="7"/>
        <v>30390.41805</v>
      </c>
      <c r="H95" s="11">
        <f t="shared" si="7"/>
        <v>18603.58195</v>
      </c>
      <c r="I95" s="11">
        <f t="shared" si="7"/>
        <v>21190.652249999999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655.80169000000001</v>
      </c>
      <c r="G96" s="132">
        <f t="shared" si="8"/>
        <v>23704.197789999998</v>
      </c>
      <c r="H96" s="132">
        <f t="shared" si="8"/>
        <v>13789.802210000002</v>
      </c>
      <c r="I96" s="132">
        <f t="shared" si="8"/>
        <v>14945.252799999998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75.95184</f>
        <v>75.951840000000004</v>
      </c>
      <c r="G97" s="127">
        <f>4043.06038</f>
        <v>4043.0603799999999</v>
      </c>
      <c r="H97" s="127">
        <f t="shared" ref="H97:H104" si="9">E97-G97</f>
        <v>5971.9396200000001</v>
      </c>
      <c r="I97" s="127">
        <f>2346.00552</f>
        <v>2346.0055200000002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318.89323</f>
        <v>318.89323000000002</v>
      </c>
      <c r="G98" s="127">
        <f>8147.82646</f>
        <v>8147.8264600000002</v>
      </c>
      <c r="H98" s="127">
        <f t="shared" si="9"/>
        <v>2466.1735399999998</v>
      </c>
      <c r="I98" s="127">
        <f>4819.20947</f>
        <v>4819.2094699999998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193.32624</f>
        <v>193.32624000000001</v>
      </c>
      <c r="G99" s="127">
        <f>7314.20578</f>
        <v>7314.2057800000002</v>
      </c>
      <c r="H99" s="127">
        <f t="shared" si="9"/>
        <v>2797.7942199999998</v>
      </c>
      <c r="I99" s="127">
        <f>4119.11136</f>
        <v>4119.1113599999999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67.63038</f>
        <v>67.630380000000002</v>
      </c>
      <c r="G100" s="127">
        <f>4199.10517</f>
        <v>4199.1051699999998</v>
      </c>
      <c r="H100" s="127">
        <f t="shared" si="9"/>
        <v>2553.8948300000002</v>
      </c>
      <c r="I100" s="127">
        <f>3660.92645</f>
        <v>3660.9264499999999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0</f>
        <v>0</v>
      </c>
      <c r="G101" s="132">
        <f>4930.00243</f>
        <v>4930.0024299999995</v>
      </c>
      <c r="H101" s="132">
        <f t="shared" si="9"/>
        <v>2665.9975700000005</v>
      </c>
      <c r="I101" s="132">
        <f>5068.19665</f>
        <v>5068.1966499999999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31.1158</f>
        <v>31.1158</v>
      </c>
      <c r="G102" s="75">
        <f>1756.21783</f>
        <v>1756.21783</v>
      </c>
      <c r="H102" s="75">
        <f t="shared" si="9"/>
        <v>2147.78217</v>
      </c>
      <c r="I102" s="75">
        <f>1177.2028</f>
        <v>1177.2028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0.80411</f>
        <v>0.80410999999999999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</f>
        <v>0</v>
      </c>
      <c r="G105" s="98">
        <f>19.51706</f>
        <v>19.517060000000001</v>
      </c>
      <c r="H105" s="139">
        <f>E105-G105</f>
        <v>30.482939999999999</v>
      </c>
      <c r="I105" s="98">
        <f>6.9666</f>
        <v>6.9665999999999997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16.07232</f>
        <v>16.072320000000001</v>
      </c>
      <c r="H106" s="139">
        <f t="shared" ref="H106" si="10">E106-G106</f>
        <v>-16.072320000000001</v>
      </c>
      <c r="I106" s="139">
        <f>87.90276</f>
        <v>87.902760000000001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736.34610000000009</v>
      </c>
      <c r="G107" s="76">
        <f t="shared" si="12"/>
        <v>53757.096989999998</v>
      </c>
      <c r="H107" s="76">
        <f t="shared" si="12"/>
        <v>21866.903010000002</v>
      </c>
      <c r="I107" s="76">
        <f t="shared" si="12"/>
        <v>60259.20923</v>
      </c>
      <c r="J107" s="243"/>
    </row>
    <row r="108" spans="1:10" ht="13.5" customHeight="1" x14ac:dyDescent="0.25">
      <c r="A108" s="1"/>
      <c r="B108" s="253"/>
      <c r="C108" s="77" t="s">
        <v>133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134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32.147550000000003</v>
      </c>
      <c r="G128" s="11">
        <f t="shared" si="13"/>
        <v>38674.687919999997</v>
      </c>
      <c r="H128" s="11">
        <f t="shared" si="13"/>
        <v>33632.312080000011</v>
      </c>
      <c r="I128" s="11">
        <f t="shared" si="13"/>
        <v>37829.700650000006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3.591</f>
        <v>3.5910000000000002</v>
      </c>
      <c r="G129" s="23">
        <f>34247.35092</f>
        <v>34247.350919999997</v>
      </c>
      <c r="H129" s="23">
        <f>E129-G129</f>
        <v>23314.649080000003</v>
      </c>
      <c r="I129" s="23">
        <f>33166.59442</f>
        <v>33166.594420000001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28.55655</f>
        <v>28.556550000000001</v>
      </c>
      <c r="G130" s="23">
        <f>4361.88685</f>
        <v>4361.8868499999999</v>
      </c>
      <c r="H130" s="23">
        <f>E130-G130</f>
        <v>9883.113150000001</v>
      </c>
      <c r="I130" s="23">
        <f>4547.79998</f>
        <v>4547.7999799999998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499.79904</f>
        <v>499.79903999999999</v>
      </c>
      <c r="G132" s="95">
        <f>8563.0277+2182.630195</f>
        <v>10745.657895</v>
      </c>
      <c r="H132" s="95">
        <f>E132-G132</f>
        <v>41750.342105000003</v>
      </c>
      <c r="I132" s="95">
        <f>20867.36879</f>
        <v>20867.36879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697.77332999999999</v>
      </c>
      <c r="G133" s="94">
        <f t="shared" ref="G133" si="14">G134+G139+G142</f>
        <v>46458.071824999999</v>
      </c>
      <c r="H133" s="94">
        <f>H134+H139+H142</f>
        <v>33706.928174999994</v>
      </c>
      <c r="I133" s="94">
        <f>I134+I139+I142</f>
        <v>46923.927940000001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579.97636</v>
      </c>
      <c r="G134" s="125">
        <f>G135+G136+G138+G137</f>
        <v>34254.099864999996</v>
      </c>
      <c r="H134" s="125">
        <f>H135+H136+H137+H138</f>
        <v>24824.900135</v>
      </c>
      <c r="I134" s="125">
        <f>I135+I136+I137+I138</f>
        <v>36788.599330000005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95.52579</f>
        <v>95.525790000000001</v>
      </c>
      <c r="G135" s="127">
        <v>6648.35563</v>
      </c>
      <c r="H135" s="127">
        <f>E135-G135</f>
        <v>11125.64437</v>
      </c>
      <c r="I135" s="127">
        <f>5943.86113</f>
        <v>5943.8611300000002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48.45638</f>
        <v>48.456380000000003</v>
      </c>
      <c r="G136" s="127">
        <v>10325.946465000001</v>
      </c>
      <c r="H136" s="127">
        <f>E136-G136</f>
        <v>4613.0535349999991</v>
      </c>
      <c r="I136" s="127">
        <f>10121.34357</f>
        <v>10121.343570000001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229.20729</f>
        <v>229.20729</v>
      </c>
      <c r="G137" s="127">
        <v>9169.6399199999996</v>
      </c>
      <c r="H137" s="127">
        <f>E137-G137</f>
        <v>3881.3600800000004</v>
      </c>
      <c r="I137" s="127">
        <f>10400.68201</f>
        <v>10400.68201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206.7869</f>
        <v>206.7869</v>
      </c>
      <c r="G138" s="127">
        <v>8110.1578499999996</v>
      </c>
      <c r="H138" s="127">
        <f>E138-G138</f>
        <v>5204.8421500000004</v>
      </c>
      <c r="I138" s="127">
        <f>10322.71262</f>
        <v>10322.71262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0</v>
      </c>
      <c r="G139" s="132">
        <f>SUM(G140:G141)</f>
        <v>8664.0056900000018</v>
      </c>
      <c r="H139" s="132">
        <f>H140+H141</f>
        <v>265.99430999999913</v>
      </c>
      <c r="I139" s="132">
        <f>SUM(I140:I141)</f>
        <v>6368.0279399999999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8286.89592</f>
        <v>8286.8959200000008</v>
      </c>
      <c r="H140" s="127">
        <f t="shared" ref="H140:H148" si="15">E140-G140</f>
        <v>143.10407999999916</v>
      </c>
      <c r="I140" s="127">
        <f>6229.81676</f>
        <v>6229.8167599999997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0</f>
        <v>0</v>
      </c>
      <c r="G141" s="127">
        <f>377.10977</f>
        <v>377.10977000000003</v>
      </c>
      <c r="H141" s="127">
        <f t="shared" si="15"/>
        <v>122.89022999999997</v>
      </c>
      <c r="I141" s="127">
        <f>138.21118</f>
        <v>138.21118000000001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117.79697</f>
        <v>117.79697</v>
      </c>
      <c r="G142" s="75">
        <f>3539.96627</f>
        <v>3539.9662699999999</v>
      </c>
      <c r="H142" s="75">
        <f t="shared" si="15"/>
        <v>8616.0337299999992</v>
      </c>
      <c r="I142" s="75">
        <f>3767.30067</f>
        <v>3767.3006700000001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57.341</f>
        <v>57.341000000000001</v>
      </c>
      <c r="G144" s="98">
        <f>181.329</f>
        <v>181.32900000000001</v>
      </c>
      <c r="H144" s="98">
        <f t="shared" si="15"/>
        <v>68.670999999999992</v>
      </c>
      <c r="I144" s="98">
        <f>262.581</f>
        <v>262.58100000000002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19.02746</f>
        <v>19.027460000000001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</f>
        <v>0</v>
      </c>
      <c r="G147" s="98">
        <f>38.14073</f>
        <v>38.140729999999998</v>
      </c>
      <c r="H147" s="139">
        <f t="shared" si="15"/>
        <v>237.85927000000001</v>
      </c>
      <c r="I147" s="98">
        <f>26.50693</f>
        <v>26.506930000000001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2.229</f>
        <v>2.2290000000000001</v>
      </c>
      <c r="G148" s="139">
        <f>111.40009</f>
        <v>111.40009000000001</v>
      </c>
      <c r="H148" s="139">
        <f t="shared" si="15"/>
        <v>-111.40009000000001</v>
      </c>
      <c r="I148" s="139">
        <f>91.08593</f>
        <v>91.085930000000005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1308.31738</v>
      </c>
      <c r="G150" s="76">
        <f>G128+G132+G133+G143+G144+G145+G146+G147+G148</f>
        <v>98225.000009999989</v>
      </c>
      <c r="H150" s="76">
        <f>H128+H132+H133+H143+H144+H145+H146+H147+H148</f>
        <v>109414.99999000003</v>
      </c>
      <c r="I150" s="76">
        <f>I128+I132+I133+I143+I144+I145+I146+I147+I148</f>
        <v>108031.53224000003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135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136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68.39662</f>
        <v>68.396619999999999</v>
      </c>
      <c r="F175" s="275">
        <f>606.80745</f>
        <v>606.80745000000002</v>
      </c>
      <c r="G175" s="43">
        <f>D175-F175-F176</f>
        <v>2448.88447</v>
      </c>
      <c r="H175" s="275">
        <f>976.27158</f>
        <v>976.27157999999997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0</f>
        <v>0</v>
      </c>
      <c r="F176" s="152">
        <f>1167.30808</f>
        <v>1167.30808</v>
      </c>
      <c r="G176" s="216"/>
      <c r="H176" s="152">
        <f>976.52726</f>
        <v>976.52725999999996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82.16938</f>
        <v>82.169380000000004</v>
      </c>
      <c r="G177" s="172">
        <f>D177-F177</f>
        <v>117.83062</v>
      </c>
      <c r="H177" s="172">
        <f>55.41002</f>
        <v>55.410020000000003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25.748699999999999</v>
      </c>
      <c r="F178" s="181">
        <f>F179+F180+F181</f>
        <v>3832.9972200000002</v>
      </c>
      <c r="G178" s="181">
        <f>D178-F178</f>
        <v>2501.0027799999998</v>
      </c>
      <c r="H178" s="181">
        <f>H179+H180+H181</f>
        <v>4809.8884500000004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3.18864</f>
        <v>3.1886399999999999</v>
      </c>
      <c r="F179" s="127">
        <f>1852.03852</f>
        <v>1852.0385200000001</v>
      </c>
      <c r="G179" s="127"/>
      <c r="H179" s="127">
        <f>2239.35299</f>
        <v>2239.3529899999999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4.81084</f>
        <v>4.8108399999999998</v>
      </c>
      <c r="F180" s="127">
        <f>1200.44366</f>
        <v>1200.4436599999999</v>
      </c>
      <c r="G180" s="127"/>
      <c r="H180" s="127">
        <f>1579.70828</f>
        <v>1579.7082800000001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17.74922</f>
        <v>17.749220000000001</v>
      </c>
      <c r="F181" s="192">
        <f>780.51504</f>
        <v>780.51504</v>
      </c>
      <c r="G181" s="192"/>
      <c r="H181" s="192">
        <f>990.82718</f>
        <v>990.82718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94.145319999999998</v>
      </c>
      <c r="F184" s="194">
        <f>F175+F176+F177+F178+F182+F183</f>
        <v>5689.2821300000005</v>
      </c>
      <c r="G184" s="194">
        <f>D184-F184</f>
        <v>5133.7178699999995</v>
      </c>
      <c r="H184" s="194">
        <f>H175+H176+H177+H178+H182+H183</f>
        <v>6818.0973100000001</v>
      </c>
      <c r="I184" s="163"/>
      <c r="J184" s="160"/>
    </row>
    <row r="185" spans="1:10" ht="42" customHeight="1" x14ac:dyDescent="0.25">
      <c r="A185" s="1"/>
      <c r="B185" s="198"/>
      <c r="C185" s="226" t="s">
        <v>143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127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566.45222</f>
        <v>566.45222000000001</v>
      </c>
      <c r="F204" s="124">
        <f>31269.89618</f>
        <v>31269.89618</v>
      </c>
      <c r="G204" s="124">
        <f>D204-F204</f>
        <v>15012.10382</v>
      </c>
      <c r="H204" s="124">
        <f>36346.86852</f>
        <v>36346.868520000004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0.003</f>
        <v>3.0000000000000001E-3</v>
      </c>
      <c r="F205" s="124">
        <f>24.22858</f>
        <v>24.228580000000001</v>
      </c>
      <c r="G205" s="124">
        <f>D205-F205</f>
        <v>75.771420000000006</v>
      </c>
      <c r="H205" s="124">
        <f>16.46725</f>
        <v>16.46725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566.45522000000005</v>
      </c>
      <c r="F207" s="190">
        <f>SUM(F204:F206)</f>
        <v>31294.124759999999</v>
      </c>
      <c r="G207" s="190">
        <f>D207-F207</f>
        <v>15123.875240000001</v>
      </c>
      <c r="H207" s="190">
        <f>SUM(H204:H206)</f>
        <v>36363.335770000005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25">
      <c r="A249" s="1"/>
      <c r="B249" s="253"/>
      <c r="C249" s="90" t="s">
        <v>125</v>
      </c>
      <c r="D249" s="124">
        <v>3987</v>
      </c>
      <c r="E249" s="75">
        <f>E250+E251</f>
        <v>0.42770000000000002</v>
      </c>
      <c r="F249" s="75">
        <f>F250+F251</f>
        <v>2966.3780400000001</v>
      </c>
      <c r="G249" s="75">
        <f>D249-F249</f>
        <v>1020.6219599999999</v>
      </c>
      <c r="H249" s="75">
        <f>H250+H251</f>
        <v>1970.3187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0</f>
        <v>0</v>
      </c>
      <c r="F250" s="75">
        <f>2484.65335</f>
        <v>2484.65335</v>
      </c>
      <c r="G250" s="75"/>
      <c r="H250" s="75">
        <f>1503.11319</f>
        <v>1503.11319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0.4277</f>
        <v>0.42770000000000002</v>
      </c>
      <c r="F251" s="124">
        <f>481.72469</f>
        <v>481.72469000000001</v>
      </c>
      <c r="G251" s="168"/>
      <c r="H251" s="124">
        <f>467.20551</f>
        <v>467.20551</v>
      </c>
      <c r="I251" s="247"/>
      <c r="J251" s="120"/>
    </row>
    <row r="252" spans="1:10" ht="15" customHeight="1" x14ac:dyDescent="0.25">
      <c r="A252" s="1"/>
      <c r="B252" s="253"/>
      <c r="C252" s="90" t="s">
        <v>126</v>
      </c>
      <c r="D252" s="124">
        <v>4613</v>
      </c>
      <c r="E252" s="75">
        <f>107.74868</f>
        <v>107.74867999999999</v>
      </c>
      <c r="F252" s="75">
        <f>4544.06097</f>
        <v>4544.0609700000005</v>
      </c>
      <c r="G252" s="75">
        <f>D252-F252</f>
        <v>68.939029999999548</v>
      </c>
      <c r="H252" s="75">
        <f>4149.02065</f>
        <v>4149.0206500000004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108.17637999999999</v>
      </c>
      <c r="F253" s="190">
        <f>SUM(F249,F252)</f>
        <v>7510.4390100000001</v>
      </c>
      <c r="G253" s="190">
        <f>D253-F253</f>
        <v>1089.5609899999999</v>
      </c>
      <c r="H253" s="190">
        <f>SUM(H249,H252)</f>
        <v>6119.3393500000002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119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25">
      <c r="A295" s="1"/>
      <c r="B295" s="253"/>
      <c r="C295" s="90" t="s">
        <v>125</v>
      </c>
      <c r="D295" s="124">
        <v>5090</v>
      </c>
      <c r="E295" s="75">
        <f>E296+E297</f>
        <v>0.85167999999999999</v>
      </c>
      <c r="F295" s="75">
        <f>F296+F297</f>
        <v>3369.4788699999999</v>
      </c>
      <c r="G295" s="75">
        <f>D295-F295</f>
        <v>1720.5211300000001</v>
      </c>
      <c r="H295" s="75">
        <f>H296+H297</f>
        <v>2204.40146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0</f>
        <v>0</v>
      </c>
      <c r="F296" s="75">
        <f>2956.01446</f>
        <v>2956.0144599999999</v>
      </c>
      <c r="G296" s="75"/>
      <c r="H296" s="75">
        <f>1810.49901</f>
        <v>1810.49901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0.85168</f>
        <v>0.85167999999999999</v>
      </c>
      <c r="F297" s="124">
        <f>413.46441</f>
        <v>413.46440999999999</v>
      </c>
      <c r="G297" s="168"/>
      <c r="H297" s="124">
        <f>393.90245</f>
        <v>393.90244999999999</v>
      </c>
      <c r="I297" s="247"/>
      <c r="J297" s="120"/>
    </row>
    <row r="298" spans="1:10" ht="15" customHeight="1" x14ac:dyDescent="0.25">
      <c r="A298" s="1"/>
      <c r="B298" s="253"/>
      <c r="C298" s="90" t="s">
        <v>126</v>
      </c>
      <c r="D298" s="124">
        <v>2981</v>
      </c>
      <c r="E298" s="75">
        <f>36.77718</f>
        <v>36.777180000000001</v>
      </c>
      <c r="F298" s="75">
        <f>1959.61891</f>
        <v>1959.6189099999999</v>
      </c>
      <c r="G298" s="75">
        <f>D298-F298</f>
        <v>1021.3810900000001</v>
      </c>
      <c r="H298" s="75">
        <f>2083.2468</f>
        <v>2083.2467999999999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37.628860000000003</v>
      </c>
      <c r="F299" s="190">
        <f>SUM(F295,F298)</f>
        <v>5329.0977800000001</v>
      </c>
      <c r="G299" s="190">
        <f>D299-F299</f>
        <v>2741.9022199999999</v>
      </c>
      <c r="H299" s="190">
        <f>SUM(H295,H298)</f>
        <v>4287.6482599999999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128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8.64781</f>
        <v>8.6478099999999998</v>
      </c>
      <c r="F350" s="124">
        <f>325.85728</f>
        <v>325.85728</v>
      </c>
      <c r="G350" s="124">
        <f>D350-F350</f>
        <v>474.14272</v>
      </c>
      <c r="H350" s="124">
        <f>256.57891</f>
        <v>256.57891000000001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59.94951</f>
        <v>59.949509999999997</v>
      </c>
      <c r="F351" s="124">
        <f>752.136</f>
        <v>752.13599999999997</v>
      </c>
      <c r="G351" s="124">
        <f>D351-F351</f>
        <v>2288.864</v>
      </c>
      <c r="H351" s="124">
        <f>842.23835</f>
        <v>842.23834999999997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0.63874</f>
        <v>0.63873999999999997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1.68235</f>
        <v>1.68235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68.597319999999996</v>
      </c>
      <c r="F354" s="190">
        <f>SUM(F350:F353)</f>
        <v>1081.6938999999998</v>
      </c>
      <c r="G354" s="190">
        <f>D354-F354</f>
        <v>2769.3061000000002</v>
      </c>
      <c r="H354" s="190">
        <f>H350+H351+H352+H353</f>
        <v>1101.1383500000002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139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140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66.369579999999999</v>
      </c>
      <c r="G380" s="252">
        <f t="shared" si="17"/>
        <v>6956.2469600000004</v>
      </c>
      <c r="H380" s="252">
        <f>H384+H383+H382+H381</f>
        <v>16012.75304</v>
      </c>
      <c r="I380" s="252">
        <f t="shared" si="17"/>
        <v>5239.28006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0</f>
        <v>0</v>
      </c>
      <c r="G381" s="256">
        <f>4157.25401</f>
        <v>4157.2540099999997</v>
      </c>
      <c r="H381" s="256">
        <f t="shared" ref="H381:H385" si="18">E381-G381</f>
        <v>9032.7459899999994</v>
      </c>
      <c r="I381" s="256">
        <f>2046.30392</f>
        <v>2046.3039200000001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912.4407</f>
        <v>912.44069999999999</v>
      </c>
      <c r="H382" s="256">
        <f t="shared" si="18"/>
        <v>2520.5592999999999</v>
      </c>
      <c r="I382" s="256">
        <f>806.0337</f>
        <v>806.03369999999995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9.85198</f>
        <v>9.8519799999999993</v>
      </c>
      <c r="G383" s="256">
        <f>1174.25159</f>
        <v>1174.2515900000001</v>
      </c>
      <c r="H383" s="256">
        <f t="shared" si="18"/>
        <v>308.74840999999992</v>
      </c>
      <c r="I383" s="256">
        <f>1297.02234</f>
        <v>1297.02234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56.5176</f>
        <v>56.517600000000002</v>
      </c>
      <c r="G384" s="256">
        <f>712.30066</f>
        <v>712.30065999999999</v>
      </c>
      <c r="H384" s="256">
        <f t="shared" si="18"/>
        <v>4150.6993400000001</v>
      </c>
      <c r="I384" s="256">
        <f>1089.9201</f>
        <v>1089.9201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50.80964</f>
        <v>50.809640000000002</v>
      </c>
      <c r="G385" s="267">
        <f>2128.64278</f>
        <v>2128.6427800000001</v>
      </c>
      <c r="H385" s="267">
        <f t="shared" si="18"/>
        <v>3371.3572199999999</v>
      </c>
      <c r="I385" s="267">
        <f>4770.68048</f>
        <v>4770.68048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19.76051</v>
      </c>
      <c r="G386" s="268">
        <f>G388+G387</f>
        <v>1614.5244600000001</v>
      </c>
      <c r="H386" s="268">
        <f>E386-G386</f>
        <v>6385.4755399999995</v>
      </c>
      <c r="I386" s="268">
        <f>I388+I387</f>
        <v>2066.1270199999999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0.0648</f>
        <v>6.4799999999999996E-2</v>
      </c>
      <c r="G387" s="256">
        <f>525.66579</f>
        <v>525.66579000000002</v>
      </c>
      <c r="H387" s="256"/>
      <c r="I387" s="256">
        <f>776.64504</f>
        <v>776.64503999999999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19.69571</f>
        <v>19.695709999999998</v>
      </c>
      <c r="G388" s="277">
        <f>1088.85867</f>
        <v>1088.8586700000001</v>
      </c>
      <c r="H388" s="277"/>
      <c r="I388" s="277">
        <f>1289.48198</f>
        <v>1289.48198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0.1164</f>
        <v>0.1164</v>
      </c>
      <c r="H389" s="267">
        <f>E389-G389</f>
        <v>12.883599999999999</v>
      </c>
      <c r="I389" s="267">
        <f>0.0735</f>
        <v>7.3499999999999996E-2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10.8962</f>
        <v>10.8962</v>
      </c>
      <c r="G390" s="267">
        <f>29.11816</f>
        <v>29.11816</v>
      </c>
      <c r="H390" s="267">
        <f>E390-G390</f>
        <v>-29.11816</v>
      </c>
      <c r="I390" s="267">
        <f>36.11316</f>
        <v>36.113160000000001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147.83592999999999</v>
      </c>
      <c r="G391" s="286">
        <f t="shared" si="19"/>
        <v>10728.648760000002</v>
      </c>
      <c r="H391" s="286">
        <f>H380+H385+H386+H389+H390</f>
        <v>25753.35124</v>
      </c>
      <c r="I391" s="286">
        <f t="shared" si="19"/>
        <v>12112.274220000001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138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137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120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1838.5002400000001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395.60914</f>
        <v>395.60914000000002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1221.9989800000001</v>
      </c>
      <c r="G416" s="85">
        <f>D416-F416</f>
        <v>-161.99898000000007</v>
      </c>
      <c r="H416" s="26">
        <f>SUM(H417:H418)</f>
        <v>1893.54342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982.54229</f>
        <v>982.54228999999998</v>
      </c>
      <c r="G417" s="97"/>
      <c r="H417" s="30">
        <f>1541.7145</f>
        <v>1541.7145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239.45669</f>
        <v>239.45669000000001</v>
      </c>
      <c r="G418" s="108"/>
      <c r="H418" s="30">
        <f>351.82892</f>
        <v>351.82891999999998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65.620739999999998</v>
      </c>
      <c r="F419" s="36">
        <f>SUM(F420:F421)</f>
        <v>1240.30645</v>
      </c>
      <c r="G419" s="85">
        <f>D419-F419</f>
        <v>-5.3064500000000407</v>
      </c>
      <c r="H419" s="36">
        <f>SUM(H420:H421)</f>
        <v>1741.4952600000001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54.77704</f>
        <v>54.77704</v>
      </c>
      <c r="F420" s="30">
        <f>908.01048</f>
        <v>908.01048000000003</v>
      </c>
      <c r="G420" s="97"/>
      <c r="H420" s="30">
        <f>1276.49657</f>
        <v>1276.49657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10.8437</f>
        <v>10.8437</v>
      </c>
      <c r="F421" s="30">
        <f>332.29597</f>
        <v>332.29597000000001</v>
      </c>
      <c r="G421" s="108"/>
      <c r="H421" s="30">
        <f>464.99869</f>
        <v>464.99869000000001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65.620739999999998</v>
      </c>
      <c r="F423" s="40">
        <f>F413+F416+F419+F422</f>
        <v>3450.7066599999998</v>
      </c>
      <c r="G423" s="41"/>
      <c r="H423" s="40">
        <f>H413+H416+H419+H422</f>
        <v>5473.5389200000009</v>
      </c>
      <c r="I423" s="27"/>
      <c r="J423" s="130"/>
    </row>
    <row r="424" spans="1:10" ht="42" customHeight="1" x14ac:dyDescent="0.25">
      <c r="A424" s="217"/>
      <c r="B424" s="72"/>
      <c r="C424" s="292" t="s">
        <v>121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17:H17"/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25&amp;R24.06.2024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2024-06-24T07:59:34Z</dcterms:modified>
</cp:coreProperties>
</file>