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lakro\hmmmmmmmmm\"/>
    </mc:Choice>
  </mc:AlternateContent>
  <xr:revisionPtr revIDLastSave="0" documentId="8_{89916BF3-F1EA-4A41-87F0-1D053BDFE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H300" i="1" s="1"/>
  <c r="F302" i="1"/>
  <c r="F300" i="1" s="1"/>
  <c r="E302" i="1"/>
  <c r="E300" i="1" s="1"/>
  <c r="H301" i="1"/>
  <c r="F301" i="1"/>
  <c r="E301" i="1"/>
  <c r="H299" i="1"/>
  <c r="H297" i="1" s="1"/>
  <c r="F299" i="1"/>
  <c r="E299" i="1"/>
  <c r="H298" i="1"/>
  <c r="F298" i="1"/>
  <c r="E298" i="1"/>
  <c r="E297" i="1" s="1"/>
  <c r="F297" i="1"/>
  <c r="G297" i="1" s="1"/>
  <c r="H296" i="1"/>
  <c r="F296" i="1"/>
  <c r="E296" i="1"/>
  <c r="H295" i="1"/>
  <c r="F295" i="1"/>
  <c r="E295" i="1"/>
  <c r="E294" i="1" s="1"/>
  <c r="E304" i="1" s="1"/>
  <c r="H294" i="1"/>
  <c r="F294" i="1"/>
  <c r="G294" i="1" s="1"/>
  <c r="E273" i="1"/>
  <c r="I272" i="1"/>
  <c r="G272" i="1"/>
  <c r="H272" i="1" s="1"/>
  <c r="F272" i="1"/>
  <c r="I271" i="1"/>
  <c r="G271" i="1"/>
  <c r="H271" i="1" s="1"/>
  <c r="F271" i="1"/>
  <c r="I270" i="1"/>
  <c r="G270" i="1"/>
  <c r="F270" i="1"/>
  <c r="I269" i="1"/>
  <c r="G269" i="1"/>
  <c r="F269" i="1"/>
  <c r="F268" i="1" s="1"/>
  <c r="I268" i="1"/>
  <c r="G268" i="1"/>
  <c r="H268" i="1" s="1"/>
  <c r="I267" i="1"/>
  <c r="G267" i="1"/>
  <c r="H267" i="1" s="1"/>
  <c r="F267" i="1"/>
  <c r="I266" i="1"/>
  <c r="G266" i="1"/>
  <c r="H266" i="1" s="1"/>
  <c r="H262" i="1" s="1"/>
  <c r="H273" i="1" s="1"/>
  <c r="F266" i="1"/>
  <c r="I265" i="1"/>
  <c r="G265" i="1"/>
  <c r="H265" i="1" s="1"/>
  <c r="F265" i="1"/>
  <c r="F262" i="1" s="1"/>
  <c r="I264" i="1"/>
  <c r="G264" i="1"/>
  <c r="H264" i="1" s="1"/>
  <c r="F264" i="1"/>
  <c r="I263" i="1"/>
  <c r="G263" i="1"/>
  <c r="H263" i="1" s="1"/>
  <c r="F263" i="1"/>
  <c r="I262" i="1"/>
  <c r="I273" i="1" s="1"/>
  <c r="G262" i="1"/>
  <c r="G273" i="1" s="1"/>
  <c r="E262" i="1"/>
  <c r="D262" i="1"/>
  <c r="D273" i="1" s="1"/>
  <c r="H254" i="1"/>
  <c r="F254" i="1"/>
  <c r="D251" i="1"/>
  <c r="D250" i="1"/>
  <c r="H241" i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F241" i="1" s="1"/>
  <c r="E237" i="1"/>
  <c r="E241" i="1" s="1"/>
  <c r="D230" i="1"/>
  <c r="H219" i="1"/>
  <c r="D219" i="1"/>
  <c r="H218" i="1"/>
  <c r="F218" i="1"/>
  <c r="G218" i="1" s="1"/>
  <c r="E218" i="1"/>
  <c r="H217" i="1"/>
  <c r="F217" i="1"/>
  <c r="F215" i="1" s="1"/>
  <c r="E217" i="1"/>
  <c r="H216" i="1"/>
  <c r="F216" i="1"/>
  <c r="E216" i="1"/>
  <c r="H215" i="1"/>
  <c r="E215" i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H202" i="1"/>
  <c r="H206" i="1" s="1"/>
  <c r="E202" i="1"/>
  <c r="E206" i="1" s="1"/>
  <c r="G192" i="1"/>
  <c r="H192" i="1" s="1"/>
  <c r="E192" i="1"/>
  <c r="D192" i="1"/>
  <c r="I191" i="1"/>
  <c r="H191" i="1"/>
  <c r="G191" i="1"/>
  <c r="F191" i="1"/>
  <c r="I190" i="1"/>
  <c r="I192" i="1" s="1"/>
  <c r="G190" i="1"/>
  <c r="H190" i="1" s="1"/>
  <c r="F190" i="1"/>
  <c r="I189" i="1"/>
  <c r="H189" i="1"/>
  <c r="G189" i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E165" i="1"/>
  <c r="H164" i="1"/>
  <c r="H163" i="1" s="1"/>
  <c r="F164" i="1"/>
  <c r="E164" i="1"/>
  <c r="E163" i="1" s="1"/>
  <c r="F163" i="1"/>
  <c r="F169" i="1" s="1"/>
  <c r="H162" i="1"/>
  <c r="G162" i="1"/>
  <c r="F162" i="1"/>
  <c r="E162" i="1"/>
  <c r="H161" i="1"/>
  <c r="F161" i="1"/>
  <c r="E161" i="1"/>
  <c r="E169" i="1" s="1"/>
  <c r="H160" i="1"/>
  <c r="G160" i="1"/>
  <c r="F160" i="1"/>
  <c r="E160" i="1"/>
  <c r="I135" i="1"/>
  <c r="G135" i="1"/>
  <c r="H135" i="1" s="1"/>
  <c r="F135" i="1"/>
  <c r="I134" i="1"/>
  <c r="H134" i="1"/>
  <c r="G134" i="1"/>
  <c r="F134" i="1"/>
  <c r="H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H128" i="1"/>
  <c r="G128" i="1"/>
  <c r="F128" i="1"/>
  <c r="F126" i="1" s="1"/>
  <c r="F120" i="1" s="1"/>
  <c r="I127" i="1"/>
  <c r="I126" i="1" s="1"/>
  <c r="G127" i="1"/>
  <c r="G126" i="1" s="1"/>
  <c r="F127" i="1"/>
  <c r="E126" i="1"/>
  <c r="D126" i="1"/>
  <c r="I125" i="1"/>
  <c r="H125" i="1"/>
  <c r="G125" i="1"/>
  <c r="F125" i="1"/>
  <c r="I124" i="1"/>
  <c r="G124" i="1"/>
  <c r="H124" i="1" s="1"/>
  <c r="F124" i="1"/>
  <c r="I123" i="1"/>
  <c r="I121" i="1" s="1"/>
  <c r="I120" i="1" s="1"/>
  <c r="H123" i="1"/>
  <c r="G123" i="1"/>
  <c r="F123" i="1"/>
  <c r="I122" i="1"/>
  <c r="G122" i="1"/>
  <c r="H122" i="1" s="1"/>
  <c r="H121" i="1" s="1"/>
  <c r="F122" i="1"/>
  <c r="F121" i="1"/>
  <c r="E121" i="1"/>
  <c r="E120" i="1" s="1"/>
  <c r="D121" i="1"/>
  <c r="D120" i="1" s="1"/>
  <c r="D137" i="1" s="1"/>
  <c r="I119" i="1"/>
  <c r="G119" i="1"/>
  <c r="H119" i="1" s="1"/>
  <c r="F119" i="1"/>
  <c r="I118" i="1"/>
  <c r="H118" i="1"/>
  <c r="G118" i="1"/>
  <c r="F118" i="1"/>
  <c r="I117" i="1"/>
  <c r="G117" i="1"/>
  <c r="G115" i="1" s="1"/>
  <c r="F117" i="1"/>
  <c r="I116" i="1"/>
  <c r="I115" i="1" s="1"/>
  <c r="H116" i="1"/>
  <c r="G116" i="1"/>
  <c r="F116" i="1"/>
  <c r="F115" i="1" s="1"/>
  <c r="F137" i="1" s="1"/>
  <c r="E115" i="1"/>
  <c r="E137" i="1" s="1"/>
  <c r="D115" i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I83" i="1" s="1"/>
  <c r="I82" i="1" s="1"/>
  <c r="H84" i="1"/>
  <c r="H83" i="1" s="1"/>
  <c r="H82" i="1" s="1"/>
  <c r="G84" i="1"/>
  <c r="F84" i="1"/>
  <c r="F83" i="1" s="1"/>
  <c r="F82" i="1" s="1"/>
  <c r="G83" i="1"/>
  <c r="G82" i="1" s="1"/>
  <c r="G94" i="1" s="1"/>
  <c r="E83" i="1"/>
  <c r="E82" i="1" s="1"/>
  <c r="D83" i="1"/>
  <c r="D82" i="1" s="1"/>
  <c r="D94" i="1" s="1"/>
  <c r="I81" i="1"/>
  <c r="I79" i="1" s="1"/>
  <c r="H81" i="1"/>
  <c r="H79" i="1" s="1"/>
  <c r="G81" i="1"/>
  <c r="F81" i="1"/>
  <c r="F79" i="1" s="1"/>
  <c r="I80" i="1"/>
  <c r="H80" i="1"/>
  <c r="G80" i="1"/>
  <c r="F80" i="1"/>
  <c r="G79" i="1"/>
  <c r="E79" i="1"/>
  <c r="E94" i="1" s="1"/>
  <c r="D79" i="1"/>
  <c r="C76" i="1"/>
  <c r="H72" i="1"/>
  <c r="F72" i="1"/>
  <c r="D72" i="1"/>
  <c r="H58" i="1"/>
  <c r="H57" i="1"/>
  <c r="I52" i="1"/>
  <c r="H52" i="1"/>
  <c r="G52" i="1"/>
  <c r="F5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H36" i="1"/>
  <c r="G36" i="1"/>
  <c r="F36" i="1"/>
  <c r="I35" i="1"/>
  <c r="G35" i="1"/>
  <c r="H35" i="1" s="1"/>
  <c r="F35" i="1"/>
  <c r="F33" i="1" s="1"/>
  <c r="F25" i="1" s="1"/>
  <c r="I34" i="1"/>
  <c r="I33" i="1" s="1"/>
  <c r="H34" i="1"/>
  <c r="G34" i="1"/>
  <c r="F34" i="1"/>
  <c r="G33" i="1"/>
  <c r="E33" i="1"/>
  <c r="H33" i="1" s="1"/>
  <c r="D33" i="1"/>
  <c r="I32" i="1"/>
  <c r="H32" i="1"/>
  <c r="G32" i="1"/>
  <c r="F32" i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H28" i="1"/>
  <c r="G28" i="1"/>
  <c r="F28" i="1"/>
  <c r="I27" i="1"/>
  <c r="H27" i="1"/>
  <c r="G27" i="1"/>
  <c r="G26" i="1" s="1"/>
  <c r="F27" i="1"/>
  <c r="F26" i="1" s="1"/>
  <c r="E26" i="1"/>
  <c r="E25" i="1" s="1"/>
  <c r="D26" i="1"/>
  <c r="D25" i="1" s="1"/>
  <c r="I24" i="1"/>
  <c r="H24" i="1"/>
  <c r="G24" i="1"/>
  <c r="F24" i="1"/>
  <c r="I23" i="1"/>
  <c r="H23" i="1"/>
  <c r="G23" i="1"/>
  <c r="F23" i="1"/>
  <c r="I22" i="1"/>
  <c r="H22" i="1"/>
  <c r="G22" i="1"/>
  <c r="F22" i="1"/>
  <c r="E22" i="1"/>
  <c r="D22" i="1"/>
  <c r="H16" i="1"/>
  <c r="F16" i="1"/>
  <c r="D16" i="1"/>
  <c r="I26" i="1" l="1"/>
  <c r="I25" i="1" s="1"/>
  <c r="I42" i="1" s="1"/>
  <c r="H26" i="1"/>
  <c r="H25" i="1"/>
  <c r="H42" i="1" s="1"/>
  <c r="D42" i="1"/>
  <c r="F94" i="1"/>
  <c r="G300" i="1"/>
  <c r="F304" i="1"/>
  <c r="G304" i="1" s="1"/>
  <c r="E42" i="1"/>
  <c r="G25" i="1"/>
  <c r="G42" i="1" s="1"/>
  <c r="H94" i="1"/>
  <c r="H169" i="1"/>
  <c r="F42" i="1"/>
  <c r="I94" i="1"/>
  <c r="G169" i="1"/>
  <c r="I137" i="1"/>
  <c r="F219" i="1"/>
  <c r="G219" i="1" s="1"/>
  <c r="G215" i="1"/>
  <c r="G241" i="1"/>
  <c r="F273" i="1"/>
  <c r="G137" i="1"/>
  <c r="F206" i="1"/>
  <c r="G202" i="1"/>
  <c r="G206" i="1"/>
  <c r="H304" i="1"/>
  <c r="H117" i="1"/>
  <c r="H115" i="1" s="1"/>
  <c r="G163" i="1"/>
  <c r="G121" i="1"/>
  <c r="G120" i="1" s="1"/>
  <c r="H127" i="1"/>
  <c r="H126" i="1" s="1"/>
  <c r="H120" i="1" s="1"/>
  <c r="H137" i="1" l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<sst xmlns="http://schemas.openxmlformats.org/spreadsheetml/2006/main" count="351" uniqueCount="154">
  <si>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</si>
  <si>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</si>
  <si>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</si>
  <si>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</si>
  <si>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</si>
  <si>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</si>
  <si>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</si>
  <si>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</si>
  <si>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</si>
  <si>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</si>
  <si>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</si>
  <si>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</si>
  <si>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</si>
  <si>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</si>
  <si>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</si>
  <si>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</si>
  <si>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</si>
  <si>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</si>
  <si>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</si>
  <si>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</si>
  <si>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</si>
  <si>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</si>
  <si>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</si>
  <si>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</si>
  <si>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</si>
  <si>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</si>
  <si>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</si>
  <si>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</si>
  <si>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</si>
  <si>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</si>
  <si>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</si>
  <si>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</si>
  <si>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</si>
  <si>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</si>
  <si>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</si>
  <si>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</si>
  <si>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</si>
  <si>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</si>
  <si>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</si>
  <si>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</si>
  <si>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</si>
  <si>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</si>
  <si>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</si>
  <si>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</si>
  <si>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</si>
  <si>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</si>
  <si>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</si>
  <si>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</si>
  <si>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</si>
  <si>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</si>
  <si>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</si>
  <si>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</si>
  <si>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</si>
  <si>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</si>
  <si>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</si>
  <si>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</si>
  <si>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</si>
  <si>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</si>
  <si>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</si>
  <si>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</si>
  <si>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</si>
  <si>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</si>
  <si>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</si>
  <si>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</si>
  <si>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</si>
  <si>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</si>
  <si>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</si>
  <si>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</si>
  <si>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</si>
  <si>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</si>
  <si>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</si>
  <si>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</si>
  <si>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</si>
  <si>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</si>
  <si>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</si>
  <si>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</si>
  <si>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</si>
  <si>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</si>
  <si>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</si>
  <si>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</si>
  <si>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</si>
  <si>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</si>
  <si>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</si>
  <si>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</si>
  <si>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</si>
  <si>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</si>
  <si>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</si>
  <si>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</si>
  <si>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</si>
  <si>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</si>
  <si>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</si>
  <si>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</si>
  <si>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</si>
  <si>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</si>
  <si>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</si>
  <si>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</si>
  <si>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</si>
  <si>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</si>
  <si>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</si>
  <si>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</si>
  <si>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</si>
  <si>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</si>
  <si>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</si>
  <si>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</si>
  <si>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</si>
  <si>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</si>
  <si>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</si>
  <si>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</si>
  <si>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</si>
  <si>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</si>
  <si>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</si>
  <si>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</si>
  <si>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</si>
  <si>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</si>
  <si>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</si>
  <si>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</si>
  <si>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</si>
  <si>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</si>
  <si>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</si>
  <si>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</si>
  <si>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</si>
  <si>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</si>
  <si>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</si>
  <si>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</si>
  <si>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</si>
  <si>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</si>
  <si>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</si>
  <si>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</si>
  <si>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</si>
  <si>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</si>
  <si>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</si>
  <si>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</si>
  <si>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</si>
  <si>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</si>
  <si>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</si>
  <si>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</si>
  <si>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</si>
  <si>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</si>
  <si>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</si>
  <si>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</si>
  <si>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</si>
  <si>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</si>
  <si>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</si>
  <si>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</si>
  <si>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</si>
  <si>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28 tonn, men det legges til grunn at hele avsetningen tas</t>
  </si>
  <si>
    <t>4 Registrert rekreasjonsfiske utgjør 92 tonn, men det legges til grunn at hele avsetningen tas</t>
  </si>
  <si>
    <t>3 Registrert rekreasjonsfiske utgjør 342 tonn, men det legges til grunn at hele avsetningen tas</t>
  </si>
  <si>
    <t>FANGST UKE 14</t>
  </si>
  <si>
    <t>FANGST T.O.M UKE 14</t>
  </si>
  <si>
    <t>RESTKVOTER UKE 14</t>
  </si>
  <si>
    <t>FANGST T.O.M UKE 14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</si>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</sst>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278" zoomScale="101" zoomScaleNormal="55" zoomScaleSheetLayoutView="100" zoomScalePageLayoutView="85" workbookViewId="0">
      <selection activeCell="E143" sqref="E143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123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3"/>
      <c r="J11" s="245"/>
    </row>
    <row r="12" spans="1:10" ht="14.1" customHeight="1" x14ac:dyDescent="0.2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2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2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2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" customHeight="1" x14ac:dyDescent="0.2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25">
      <c r="A17" s="101"/>
      <c r="B17" s="24"/>
      <c r="C17" s="291" t="s">
        <v>143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2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2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2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148</v>
      </c>
      <c r="G21" s="68" t="s">
        <v>149</v>
      </c>
      <c r="H21" s="68" t="s">
        <v>150</v>
      </c>
      <c r="I21" s="68" t="s">
        <v>151</v>
      </c>
      <c r="J21" s="279"/>
    </row>
    <row r="22" spans="1:10" ht="14.1" customHeight="1" x14ac:dyDescent="0.2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1644.12</v>
      </c>
      <c r="G22" s="27">
        <f t="shared" si="0"/>
        <v>13695.574629999999</v>
      </c>
      <c r="H22" s="10">
        <f t="shared" si="0"/>
        <v>27890.425370000001</v>
      </c>
      <c r="I22" s="10">
        <f t="shared" si="0"/>
        <v>30721.935010000001</v>
      </c>
      <c r="J22" s="245"/>
    </row>
    <row r="23" spans="1:10" ht="14.1" customHeight="1" x14ac:dyDescent="0.25">
      <c r="A23" s="1"/>
      <c r="B23" s="255"/>
      <c r="C23" s="43" t="s">
        <v>20</v>
      </c>
      <c r="D23" s="44">
        <v>38040</v>
      </c>
      <c r="E23" s="44">
        <v>40823</v>
      </c>
      <c r="F23" s="22">
        <f>1643.502</f>
        <v>1643.502</v>
      </c>
      <c r="G23" s="22">
        <f>13544.80213</f>
        <v>13544.80213</v>
      </c>
      <c r="H23" s="22">
        <f>E23-G23</f>
        <v>27278.19787</v>
      </c>
      <c r="I23" s="22">
        <f>30324.30643</f>
        <v>30324.306430000001</v>
      </c>
      <c r="J23" s="245"/>
    </row>
    <row r="24" spans="1:10" ht="14.1" customHeight="1" x14ac:dyDescent="0.25">
      <c r="A24" s="1"/>
      <c r="B24" s="255"/>
      <c r="C24" s="47" t="s">
        <v>21</v>
      </c>
      <c r="D24" s="218">
        <v>750</v>
      </c>
      <c r="E24" s="218">
        <v>763</v>
      </c>
      <c r="F24" s="165">
        <f>0.618</f>
        <v>0.61799999999999999</v>
      </c>
      <c r="G24" s="22">
        <f>150.7725</f>
        <v>150.77250000000001</v>
      </c>
      <c r="H24" s="22">
        <f>E24-G24</f>
        <v>612.22749999999996</v>
      </c>
      <c r="I24" s="22">
        <f>397.62858</f>
        <v>397.62858</v>
      </c>
      <c r="J24" s="245"/>
    </row>
    <row r="25" spans="1:10" ht="14.1" customHeight="1" x14ac:dyDescent="0.2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9047.2537300000004</v>
      </c>
      <c r="G25" s="10">
        <f t="shared" si="1"/>
        <v>78767.987600000008</v>
      </c>
      <c r="H25" s="10">
        <f t="shared" si="1"/>
        <v>42900.0124</v>
      </c>
      <c r="I25" s="10">
        <f t="shared" si="1"/>
        <v>96986.916350000014</v>
      </c>
      <c r="J25" s="245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7151.7120199999999</v>
      </c>
      <c r="G26" s="129">
        <f>G27+G28+G29+G30+G31</f>
        <v>64813.134300000005</v>
      </c>
      <c r="H26" s="129">
        <f t="shared" ref="H26:I26" si="2">H27+H28+H29+H30+H31</f>
        <v>30079.865700000002</v>
      </c>
      <c r="I26" s="129">
        <f t="shared" si="2"/>
        <v>80621.967570000008</v>
      </c>
      <c r="J26" s="245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2637.50767 - F55</f>
        <v>2637.50767</v>
      </c>
      <c r="G27" s="123">
        <f>18017.33157 - G55</f>
        <v>18017.331569999998</v>
      </c>
      <c r="H27" s="123">
        <f t="shared" ref="H27:H39" si="3">E27-G27</f>
        <v>7135.6684300000015</v>
      </c>
      <c r="I27" s="123">
        <f>21900.44504 - I55</f>
        <v>21900.445039999999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2072.31217 - F56</f>
        <v>2072.3121700000002</v>
      </c>
      <c r="G28" s="123">
        <f>19110.50174 - G56</f>
        <v>19110.50174</v>
      </c>
      <c r="H28" s="123">
        <f t="shared" si="3"/>
        <v>4883.4982600000003</v>
      </c>
      <c r="I28" s="123">
        <f>24064.68401 - I56</f>
        <v>24064.684010000001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1824.25516 - F57</f>
        <v>1824.2551599999999</v>
      </c>
      <c r="G29" s="123">
        <f>16981.55396 - G57</f>
        <v>16981.553960000001</v>
      </c>
      <c r="H29" s="123">
        <f t="shared" si="3"/>
        <v>4888.4460399999989</v>
      </c>
      <c r="I29" s="123">
        <f>20596.149 - I57</f>
        <v>20596.149000000001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902.63702 - F58</f>
        <v>617.63702000000001</v>
      </c>
      <c r="G30" s="123">
        <f>11787.74703 - G58</f>
        <v>10703.74703</v>
      </c>
      <c r="H30" s="123">
        <f t="shared" si="3"/>
        <v>4941.2529699999996</v>
      </c>
      <c r="I30" s="123">
        <f>15618.68952 - I58</f>
        <v>14060.68952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383.29764</f>
        <v>383.29764</v>
      </c>
      <c r="G32" s="129">
        <f>4929.18015</f>
        <v>4929.1801500000001</v>
      </c>
      <c r="H32" s="129">
        <f t="shared" si="3"/>
        <v>8749.8198499999999</v>
      </c>
      <c r="I32" s="129">
        <f>6236.3019</f>
        <v>6236.3019000000004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1512.24407</v>
      </c>
      <c r="G33" s="129">
        <f>G34+G35</f>
        <v>9025.6731500000005</v>
      </c>
      <c r="H33" s="129">
        <f t="shared" si="3"/>
        <v>4070.3268499999995</v>
      </c>
      <c r="I33" s="129">
        <f>I34+I35</f>
        <v>10128.64688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1512.24407 - F59 - F60</f>
        <v>1512.24407</v>
      </c>
      <c r="G34" s="129">
        <f>9025.67315 - G59 - G60</f>
        <v>9025.6731500000005</v>
      </c>
      <c r="H34" s="123">
        <f t="shared" si="3"/>
        <v>3110.3268499999995</v>
      </c>
      <c r="I34" s="123">
        <f>10128.64688 - I59 - I60</f>
        <v>10128.64688</v>
      </c>
      <c r="J34" s="63"/>
    </row>
    <row r="35" spans="1:10" ht="14.1" customHeight="1" x14ac:dyDescent="0.2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55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88.265</f>
        <v>88.265000000000001</v>
      </c>
      <c r="H36" s="136">
        <f t="shared" si="3"/>
        <v>911.73500000000001</v>
      </c>
      <c r="I36" s="136">
        <f>230.7636</f>
        <v>230.7636</v>
      </c>
      <c r="J36" s="245"/>
    </row>
    <row r="37" spans="1:10" ht="14.1" customHeight="1" x14ac:dyDescent="0.25">
      <c r="A37" s="1"/>
      <c r="B37" s="255"/>
      <c r="C37" s="70" t="s">
        <v>34</v>
      </c>
      <c r="D37" s="140">
        <v>855</v>
      </c>
      <c r="E37" s="140">
        <v>855</v>
      </c>
      <c r="F37" s="95">
        <f>72.86498</f>
        <v>72.864980000000003</v>
      </c>
      <c r="G37" s="95">
        <f>441.16893</f>
        <v>441.16892999999999</v>
      </c>
      <c r="H37" s="95">
        <f t="shared" si="3"/>
        <v>413.83107000000001</v>
      </c>
      <c r="I37" s="95">
        <f>407.91044</f>
        <v>407.91043999999999</v>
      </c>
      <c r="J37" s="245"/>
    </row>
    <row r="38" spans="1:10" ht="17.25" customHeight="1" x14ac:dyDescent="0.2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285</v>
      </c>
      <c r="G38" s="95">
        <f>G58</f>
        <v>1084</v>
      </c>
      <c r="H38" s="95">
        <f t="shared" si="3"/>
        <v>1916</v>
      </c>
      <c r="I38" s="95">
        <f>I58</f>
        <v>1558</v>
      </c>
      <c r="J38" s="245"/>
    </row>
    <row r="39" spans="1:10" ht="17.25" customHeight="1" x14ac:dyDescent="0.25">
      <c r="A39" s="1"/>
      <c r="B39" s="255"/>
      <c r="C39" s="70" t="s">
        <v>36</v>
      </c>
      <c r="D39" s="140">
        <v>7000</v>
      </c>
      <c r="E39" s="140">
        <v>7000</v>
      </c>
      <c r="F39" s="95">
        <f>63.55011</f>
        <v>63.550109999999997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25">
      <c r="A40" s="1"/>
      <c r="B40" s="255"/>
      <c r="C40" s="70" t="s">
        <v>38</v>
      </c>
      <c r="D40" s="140">
        <v>450</v>
      </c>
      <c r="E40" s="140">
        <v>450</v>
      </c>
      <c r="F40" s="95">
        <f>47.05846</f>
        <v>47.058459999999997</v>
      </c>
      <c r="G40" s="95">
        <f>253.54577</f>
        <v>253.54577</v>
      </c>
      <c r="H40" s="95">
        <f>E40-G40</f>
        <v>196.45423</v>
      </c>
      <c r="I40" s="95">
        <f>265.73295</f>
        <v>265.73295000000002</v>
      </c>
      <c r="J40" s="245"/>
    </row>
    <row r="41" spans="1:10" ht="14.1" customHeight="1" x14ac:dyDescent="0.25">
      <c r="A41" s="1"/>
      <c r="B41" s="255"/>
      <c r="C41" s="70" t="s">
        <v>39</v>
      </c>
      <c r="D41" s="140"/>
      <c r="E41" s="136"/>
      <c r="F41" s="136">
        <f>1.0995</f>
        <v>1.0994999999999999</v>
      </c>
      <c r="G41" s="136">
        <f>49.34653</f>
        <v>49.346530000000001</v>
      </c>
      <c r="H41" s="136">
        <f t="shared" ref="H41" si="4">E41-G41</f>
        <v>-49.346530000000001</v>
      </c>
      <c r="I41" s="136">
        <f>77.21176</f>
        <v>77.211759999999998</v>
      </c>
      <c r="J41" s="245"/>
    </row>
    <row r="42" spans="1:10" ht="16.5" customHeight="1" x14ac:dyDescent="0.2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11160.94678</v>
      </c>
      <c r="G42" s="73">
        <f t="shared" si="5"/>
        <v>101379.88846</v>
      </c>
      <c r="H42" s="73">
        <f t="shared" si="5"/>
        <v>74179.111540000013</v>
      </c>
      <c r="I42" s="73">
        <f t="shared" si="5"/>
        <v>137248.47011000005</v>
      </c>
      <c r="J42" s="245"/>
    </row>
    <row r="43" spans="1:10" ht="14.1" customHeight="1" x14ac:dyDescent="0.2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" customHeight="1" x14ac:dyDescent="0.2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" customHeight="1" x14ac:dyDescent="0.25">
      <c r="A45" s="101"/>
      <c r="B45" s="24"/>
      <c r="C45" s="156" t="s">
        <v>147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25">
      <c r="A49" s="101"/>
      <c r="B49" s="24"/>
      <c r="C49" s="302" t="s">
        <v>43</v>
      </c>
      <c r="D49" s="302"/>
      <c r="E49" s="302"/>
      <c r="F49" s="302"/>
      <c r="G49" s="302"/>
      <c r="H49" s="302"/>
      <c r="I49" s="80"/>
      <c r="J49" s="81"/>
    </row>
    <row r="50" spans="1:10" ht="15.9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148</v>
      </c>
      <c r="G51" s="68" t="s">
        <v>149</v>
      </c>
      <c r="H51" s="68" t="s">
        <v>150</v>
      </c>
      <c r="I51" s="68" t="s">
        <v>151</v>
      </c>
      <c r="J51" s="245"/>
    </row>
    <row r="52" spans="1:10" ht="14.1" customHeight="1" x14ac:dyDescent="0.25">
      <c r="A52" s="101"/>
      <c r="B52" s="24"/>
      <c r="C52" s="15" t="s">
        <v>45</v>
      </c>
      <c r="D52" s="303">
        <v>7872</v>
      </c>
      <c r="E52" s="303">
        <v>8231</v>
      </c>
      <c r="F52" s="10">
        <f>F56+F55+F54+F53</f>
        <v>0</v>
      </c>
      <c r="G52" s="10">
        <f>G56+G55+G54+G53</f>
        <v>0</v>
      </c>
      <c r="H52" s="303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304"/>
      <c r="E53" s="304"/>
      <c r="F53" s="123"/>
      <c r="G53" s="123"/>
      <c r="H53" s="304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304"/>
      <c r="E54" s="304"/>
      <c r="F54" s="123"/>
      <c r="G54" s="123"/>
      <c r="H54" s="304"/>
      <c r="I54" s="123"/>
      <c r="J54" s="245"/>
    </row>
    <row r="55" spans="1:10" ht="14.1" customHeight="1" x14ac:dyDescent="0.25">
      <c r="A55" s="101"/>
      <c r="B55" s="24"/>
      <c r="C55" s="60" t="s">
        <v>26</v>
      </c>
      <c r="D55" s="304"/>
      <c r="E55" s="304"/>
      <c r="F55" s="123"/>
      <c r="G55" s="123"/>
      <c r="H55" s="304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305"/>
      <c r="E56" s="305"/>
      <c r="F56" s="186"/>
      <c r="G56" s="186"/>
      <c r="H56" s="305"/>
      <c r="I56" s="186"/>
      <c r="J56" s="117"/>
    </row>
    <row r="57" spans="1:10" ht="14.1" customHeight="1" x14ac:dyDescent="0.2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" customHeight="1" x14ac:dyDescent="0.25">
      <c r="A58" s="101"/>
      <c r="B58" s="24"/>
      <c r="C58" s="139" t="s">
        <v>47</v>
      </c>
      <c r="D58" s="136">
        <v>3000</v>
      </c>
      <c r="E58" s="136">
        <v>3000</v>
      </c>
      <c r="F58" s="136">
        <v>285</v>
      </c>
      <c r="G58" s="136">
        <v>1084</v>
      </c>
      <c r="H58" s="136">
        <f>E58-G58</f>
        <v>1916</v>
      </c>
      <c r="I58" s="136">
        <v>1558</v>
      </c>
      <c r="J58" s="117"/>
    </row>
    <row r="59" spans="1:10" ht="14.1" customHeight="1" x14ac:dyDescent="0.2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20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298" t="s">
        <v>1</v>
      </c>
      <c r="D68" s="299"/>
      <c r="E68" s="298" t="s">
        <v>2</v>
      </c>
      <c r="F68" s="306"/>
      <c r="G68" s="298" t="s">
        <v>3</v>
      </c>
      <c r="H68" s="299"/>
      <c r="I68" s="173"/>
      <c r="J68" s="245"/>
    </row>
    <row r="69" spans="1:10" ht="15" customHeight="1" x14ac:dyDescent="0.25">
      <c r="B69" s="255"/>
      <c r="C69" s="110" t="s">
        <v>142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2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" customHeight="1" x14ac:dyDescent="0.2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2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25">
      <c r="A73" s="1"/>
      <c r="B73" s="255"/>
      <c r="C73" s="101" t="s">
        <v>144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2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" customHeight="1" x14ac:dyDescent="0.2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2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2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148</v>
      </c>
      <c r="G78" s="14" t="s">
        <v>149</v>
      </c>
      <c r="H78" s="14" t="s">
        <v>150</v>
      </c>
      <c r="I78" s="14" t="s">
        <v>151</v>
      </c>
      <c r="J78" s="117"/>
    </row>
    <row r="79" spans="1:10" ht="14.1" customHeight="1" x14ac:dyDescent="0.2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2046.9638</v>
      </c>
      <c r="G79" s="10">
        <f t="shared" si="6"/>
        <v>13725.18087</v>
      </c>
      <c r="H79" s="10">
        <f t="shared" si="6"/>
        <v>12415.81913</v>
      </c>
      <c r="I79" s="10">
        <f t="shared" si="6"/>
        <v>21033.883040000001</v>
      </c>
      <c r="J79" s="245"/>
    </row>
    <row r="80" spans="1:10" ht="15" customHeight="1" x14ac:dyDescent="0.25">
      <c r="A80" s="1"/>
      <c r="B80" s="255"/>
      <c r="C80" s="43" t="s">
        <v>20</v>
      </c>
      <c r="D80" s="44">
        <v>24216</v>
      </c>
      <c r="E80" s="44">
        <v>25316</v>
      </c>
      <c r="F80" s="22">
        <f>2040.4272</f>
        <v>2040.4272000000001</v>
      </c>
      <c r="G80" s="22">
        <f>13457.64227</f>
        <v>13457.64227</v>
      </c>
      <c r="H80" s="22">
        <f>E80-G80</f>
        <v>11858.35773</v>
      </c>
      <c r="I80" s="22">
        <f>20287.15279</f>
        <v>20287.15279</v>
      </c>
      <c r="J80" s="245"/>
    </row>
    <row r="81" spans="1:10" ht="14.1" customHeight="1" x14ac:dyDescent="0.25">
      <c r="A81" s="1"/>
      <c r="B81" s="255"/>
      <c r="C81" s="62" t="s">
        <v>21</v>
      </c>
      <c r="D81" s="218">
        <v>750</v>
      </c>
      <c r="E81" s="218">
        <v>825</v>
      </c>
      <c r="F81" s="48">
        <f>6.5366</f>
        <v>6.5366</v>
      </c>
      <c r="G81" s="48">
        <f>267.5386</f>
        <v>267.53859999999997</v>
      </c>
      <c r="H81" s="48">
        <f>E81-G81</f>
        <v>557.46140000000003</v>
      </c>
      <c r="I81" s="48">
        <f>746.73025</f>
        <v>746.73024999999996</v>
      </c>
      <c r="J81" s="245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555.43021999999996</v>
      </c>
      <c r="G82" s="10">
        <f t="shared" si="7"/>
        <v>14112.021550000001</v>
      </c>
      <c r="H82" s="10">
        <f t="shared" si="7"/>
        <v>30016.978449999999</v>
      </c>
      <c r="I82" s="10">
        <f t="shared" si="7"/>
        <v>17120.174069999997</v>
      </c>
      <c r="J82" s="245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493.17953</v>
      </c>
      <c r="G83" s="129">
        <f t="shared" si="8"/>
        <v>10949.02017</v>
      </c>
      <c r="H83" s="129">
        <f t="shared" si="8"/>
        <v>21555.97983</v>
      </c>
      <c r="I83" s="129">
        <f t="shared" si="8"/>
        <v>12089.887119999999</v>
      </c>
      <c r="J83" s="245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99.77334</f>
        <v>99.773340000000005</v>
      </c>
      <c r="G84" s="123">
        <f>2179.82664</f>
        <v>2179.8266400000002</v>
      </c>
      <c r="H84" s="123">
        <f t="shared" ref="H84:H91" si="9">E84-G84</f>
        <v>6824.1733599999998</v>
      </c>
      <c r="I84" s="123">
        <f>2963.24851</f>
        <v>2963.2485099999999</v>
      </c>
      <c r="J84" s="245"/>
    </row>
    <row r="85" spans="1:10" ht="14.1" customHeight="1" x14ac:dyDescent="0.25">
      <c r="A85" s="192"/>
      <c r="B85" s="176"/>
      <c r="C85" s="60" t="s">
        <v>51</v>
      </c>
      <c r="D85" s="61">
        <v>8674</v>
      </c>
      <c r="E85" s="61">
        <v>9075</v>
      </c>
      <c r="F85" s="123">
        <f>173.73477</f>
        <v>173.73477</v>
      </c>
      <c r="G85" s="123">
        <f>2588.47433</f>
        <v>2588.47433</v>
      </c>
      <c r="H85" s="123">
        <f t="shared" si="9"/>
        <v>6486.52567</v>
      </c>
      <c r="I85" s="123">
        <f>4063.0492</f>
        <v>4063.0491999999999</v>
      </c>
      <c r="J85" s="245"/>
    </row>
    <row r="86" spans="1:10" ht="14.1" customHeight="1" x14ac:dyDescent="0.25">
      <c r="A86" s="192"/>
      <c r="B86" s="176"/>
      <c r="C86" s="60" t="s">
        <v>52</v>
      </c>
      <c r="D86" s="61">
        <v>8266</v>
      </c>
      <c r="E86" s="61">
        <v>8649</v>
      </c>
      <c r="F86" s="123">
        <f>126.54618</f>
        <v>126.54618000000001</v>
      </c>
      <c r="G86" s="123">
        <f>3185.17792</f>
        <v>3185.1779200000001</v>
      </c>
      <c r="H86" s="123">
        <f t="shared" si="9"/>
        <v>5463.8220799999999</v>
      </c>
      <c r="I86" s="123">
        <f>3169.23943</f>
        <v>3169.2394300000001</v>
      </c>
      <c r="J86" s="245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93.12524</f>
        <v>93.125240000000005</v>
      </c>
      <c r="G87" s="123">
        <f>2995.54128</f>
        <v>2995.5412799999999</v>
      </c>
      <c r="H87" s="123">
        <f t="shared" si="9"/>
        <v>2781.4587200000001</v>
      </c>
      <c r="I87" s="123">
        <f>1894.34998</f>
        <v>1894.34998</v>
      </c>
      <c r="J87" s="245"/>
    </row>
    <row r="88" spans="1:10" ht="14.1" customHeight="1" x14ac:dyDescent="0.25">
      <c r="A88" s="192"/>
      <c r="B88" s="176"/>
      <c r="C88" s="54" t="s">
        <v>53</v>
      </c>
      <c r="D88" s="55">
        <v>7333</v>
      </c>
      <c r="E88" s="55">
        <v>8117</v>
      </c>
      <c r="F88" s="129">
        <f>5.06275</f>
        <v>5.0627500000000003</v>
      </c>
      <c r="G88" s="129">
        <f>2290.24506</f>
        <v>2290.2450600000002</v>
      </c>
      <c r="H88" s="129">
        <f t="shared" si="9"/>
        <v>5826.7549399999998</v>
      </c>
      <c r="I88" s="129">
        <f>3684.32463</f>
        <v>3684.3246300000001</v>
      </c>
      <c r="J88" s="245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57.18794</f>
        <v>57.187939999999998</v>
      </c>
      <c r="G89" s="72">
        <f>872.75632</f>
        <v>872.75631999999996</v>
      </c>
      <c r="H89" s="72">
        <f t="shared" si="9"/>
        <v>2634.24368</v>
      </c>
      <c r="I89" s="72">
        <f>1345.96232</f>
        <v>1345.9623200000001</v>
      </c>
      <c r="J89" s="245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0.30444</f>
        <v>0.30443999999999999</v>
      </c>
      <c r="G90" s="95">
        <f>21.26528</f>
        <v>21.265280000000001</v>
      </c>
      <c r="H90" s="95">
        <f t="shared" si="9"/>
        <v>297.73471999999998</v>
      </c>
      <c r="I90" s="95">
        <f>31.55606</f>
        <v>31.556059999999999</v>
      </c>
      <c r="J90" s="245"/>
    </row>
    <row r="91" spans="1:10" ht="18" customHeight="1" x14ac:dyDescent="0.25">
      <c r="A91" s="1"/>
      <c r="B91" s="255"/>
      <c r="C91" s="70" t="s">
        <v>54</v>
      </c>
      <c r="D91" s="140">
        <v>300</v>
      </c>
      <c r="E91" s="140">
        <v>300</v>
      </c>
      <c r="F91" s="136">
        <f>4.09587</f>
        <v>4.0958699999999997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25">
      <c r="A92" s="1"/>
      <c r="B92" s="255"/>
      <c r="C92" s="89" t="s">
        <v>38</v>
      </c>
      <c r="D92" s="140">
        <v>50</v>
      </c>
      <c r="E92" s="140">
        <v>50</v>
      </c>
      <c r="F92" s="95">
        <f>0.4166</f>
        <v>0.41660000000000003</v>
      </c>
      <c r="G92" s="95">
        <f>8.88641</f>
        <v>8.8864099999999997</v>
      </c>
      <c r="H92" s="136">
        <f>E92-G92</f>
        <v>41.113590000000002</v>
      </c>
      <c r="I92" s="95">
        <f>12.38404</f>
        <v>12.384040000000001</v>
      </c>
      <c r="J92" s="245"/>
    </row>
    <row r="93" spans="1:10" ht="18" customHeight="1" x14ac:dyDescent="0.2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5.10856</f>
        <v>5.1085599999999998</v>
      </c>
      <c r="H93" s="136">
        <f t="shared" ref="H93" si="10">E93-G93</f>
        <v>-5.1085599999999998</v>
      </c>
      <c r="I93" s="136">
        <f>13.37624</f>
        <v>13.376239999999999</v>
      </c>
      <c r="J93" s="245"/>
    </row>
    <row r="94" spans="1:10" ht="16.5" customHeight="1" x14ac:dyDescent="0.2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2607.2109299999997</v>
      </c>
      <c r="G94" s="73">
        <f t="shared" si="12"/>
        <v>28172.462670000001</v>
      </c>
      <c r="H94" s="73">
        <f t="shared" si="12"/>
        <v>42766.537329999999</v>
      </c>
      <c r="I94" s="73">
        <f t="shared" si="12"/>
        <v>38511.373449999992</v>
      </c>
      <c r="J94" s="245"/>
    </row>
    <row r="95" spans="1:10" ht="13.5" customHeight="1" x14ac:dyDescent="0.2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25">
      <c r="A96" s="1"/>
      <c r="B96" s="24"/>
      <c r="C96" s="156" t="s">
        <v>145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25">
      <c r="A97" s="1"/>
      <c r="B97" s="24"/>
      <c r="C97" s="156" t="s">
        <v>152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2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2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00000000000001" customHeight="1" x14ac:dyDescent="0.2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2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" customHeight="1" x14ac:dyDescent="0.2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" customHeight="1" x14ac:dyDescent="0.2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" customHeight="1" x14ac:dyDescent="0.2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" customHeight="1" x14ac:dyDescent="0.2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2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2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2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148</v>
      </c>
      <c r="G114" s="14" t="s">
        <v>149</v>
      </c>
      <c r="H114" s="14" t="s">
        <v>150</v>
      </c>
      <c r="I114" s="14" t="s">
        <v>151</v>
      </c>
      <c r="J114" s="279"/>
    </row>
    <row r="115" spans="1:10" ht="14.1" customHeight="1" x14ac:dyDescent="0.2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471.94165000000004</v>
      </c>
      <c r="G115" s="10">
        <f t="shared" si="13"/>
        <v>23599.683570000001</v>
      </c>
      <c r="H115" s="10">
        <f t="shared" si="13"/>
        <v>48690.316429999999</v>
      </c>
      <c r="I115" s="10">
        <f t="shared" si="13"/>
        <v>29827.125919999999</v>
      </c>
      <c r="J115" s="245"/>
    </row>
    <row r="116" spans="1:10" ht="14.1" customHeight="1" x14ac:dyDescent="0.25">
      <c r="A116" s="1"/>
      <c r="B116" s="255"/>
      <c r="C116" s="43" t="s">
        <v>20</v>
      </c>
      <c r="D116" s="44">
        <v>51830</v>
      </c>
      <c r="E116" s="44">
        <v>57471</v>
      </c>
      <c r="F116" s="22">
        <f>206.67205</f>
        <v>206.67205000000001</v>
      </c>
      <c r="G116" s="22">
        <f>21354.11647</f>
        <v>21354.116470000001</v>
      </c>
      <c r="H116" s="22">
        <f>E116-G116</f>
        <v>36116.883529999999</v>
      </c>
      <c r="I116" s="22">
        <f>26202.74779</f>
        <v>26202.747790000001</v>
      </c>
      <c r="J116" s="245"/>
    </row>
    <row r="117" spans="1:10" ht="15" customHeight="1" x14ac:dyDescent="0.25">
      <c r="A117" s="1"/>
      <c r="B117" s="255"/>
      <c r="C117" s="43" t="s">
        <v>21</v>
      </c>
      <c r="D117" s="44">
        <v>12457</v>
      </c>
      <c r="E117" s="44">
        <v>14319</v>
      </c>
      <c r="F117" s="22">
        <f>265.2696</f>
        <v>265.26960000000003</v>
      </c>
      <c r="G117" s="22">
        <f>2180.46465</f>
        <v>2180.4646499999999</v>
      </c>
      <c r="H117" s="22">
        <f>E117-G117</f>
        <v>12138.53535</v>
      </c>
      <c r="I117" s="22">
        <f>3561.15298</f>
        <v>3561.1529799999998</v>
      </c>
      <c r="J117" s="245"/>
    </row>
    <row r="118" spans="1:10" ht="13.5" customHeight="1" x14ac:dyDescent="0.2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65.10245</f>
        <v>65.102450000000005</v>
      </c>
      <c r="H118" s="53">
        <f>E118-G118</f>
        <v>434.89755000000002</v>
      </c>
      <c r="I118" s="22">
        <f>63.22515</f>
        <v>63.225149999999999</v>
      </c>
      <c r="J118" s="245"/>
    </row>
    <row r="119" spans="1:10" ht="14.25" customHeight="1" x14ac:dyDescent="0.25">
      <c r="A119" s="65"/>
      <c r="B119" s="75"/>
      <c r="C119" s="85" t="s">
        <v>64</v>
      </c>
      <c r="D119" s="87">
        <v>43775</v>
      </c>
      <c r="E119" s="87">
        <v>52305</v>
      </c>
      <c r="F119" s="92">
        <f>0</f>
        <v>0</v>
      </c>
      <c r="G119" s="92">
        <f>38.64065</f>
        <v>38.640650000000001</v>
      </c>
      <c r="H119" s="92">
        <f>E119-G119</f>
        <v>52266.359349999999</v>
      </c>
      <c r="I119" s="92">
        <f>16.308</f>
        <v>16.308</v>
      </c>
      <c r="J119" s="111"/>
    </row>
    <row r="120" spans="1:10" ht="15.75" customHeight="1" x14ac:dyDescent="0.2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877.04606000000001</v>
      </c>
      <c r="G120" s="91">
        <f t="shared" ref="G120" si="14">G121+G126+G129</f>
        <v>30050.692379999997</v>
      </c>
      <c r="H120" s="91">
        <f>H121+H126+H129</f>
        <v>42844.307620000007</v>
      </c>
      <c r="I120" s="91">
        <f>I121+I126+I129</f>
        <v>39844.54411000001</v>
      </c>
      <c r="J120" s="117"/>
    </row>
    <row r="121" spans="1:10" ht="14.1" customHeight="1" x14ac:dyDescent="0.2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414.48095000000001</v>
      </c>
      <c r="G121" s="121">
        <f>G122+G123+G125+G124</f>
        <v>22306.442739999999</v>
      </c>
      <c r="H121" s="121">
        <f>H122+H123+H124+H125</f>
        <v>32427.557260000001</v>
      </c>
      <c r="I121" s="121">
        <f>I122+I123+I124+I125</f>
        <v>29985.040850000005</v>
      </c>
      <c r="J121" s="279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16279</v>
      </c>
      <c r="F122" s="123">
        <f>122.58359</f>
        <v>122.58359</v>
      </c>
      <c r="G122" s="123">
        <f>5078.76408</f>
        <v>5078.7640799999999</v>
      </c>
      <c r="H122" s="123">
        <f>E122-G122</f>
        <v>11200.235919999999</v>
      </c>
      <c r="I122" s="123">
        <f>5380.23587</f>
        <v>5380.2358700000004</v>
      </c>
      <c r="J122" s="125"/>
    </row>
    <row r="123" spans="1:10" ht="14.1" customHeight="1" x14ac:dyDescent="0.25">
      <c r="A123" s="192"/>
      <c r="B123" s="176"/>
      <c r="C123" s="60" t="s">
        <v>51</v>
      </c>
      <c r="D123" s="61">
        <v>14094</v>
      </c>
      <c r="E123" s="61">
        <v>13937</v>
      </c>
      <c r="F123" s="123">
        <f>110.01936</f>
        <v>110.01936000000001</v>
      </c>
      <c r="G123" s="123">
        <f>7100.01278</f>
        <v>7100.01278</v>
      </c>
      <c r="H123" s="123">
        <f>E123-G123</f>
        <v>6836.98722</v>
      </c>
      <c r="I123" s="123">
        <f>9255.77848</f>
        <v>9255.7784800000009</v>
      </c>
      <c r="J123" s="126"/>
    </row>
    <row r="124" spans="1:10" ht="14.1" customHeight="1" x14ac:dyDescent="0.25">
      <c r="A124" s="192"/>
      <c r="B124" s="176"/>
      <c r="C124" s="60" t="s">
        <v>52</v>
      </c>
      <c r="D124" s="61">
        <v>12169</v>
      </c>
      <c r="E124" s="61">
        <v>11676</v>
      </c>
      <c r="F124" s="123">
        <f>68.1528</f>
        <v>68.152799999999999</v>
      </c>
      <c r="G124" s="123">
        <f>4876.58675</f>
        <v>4876.5867500000004</v>
      </c>
      <c r="H124" s="123">
        <f>E124-G124</f>
        <v>6799.4132499999996</v>
      </c>
      <c r="I124" s="123">
        <f>7779.50324</f>
        <v>7779.50324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12842</v>
      </c>
      <c r="F125" s="123">
        <f>113.7252</f>
        <v>113.7252</v>
      </c>
      <c r="G125" s="123">
        <f>5251.07913</f>
        <v>5251.0791300000001</v>
      </c>
      <c r="H125" s="123">
        <f>E125-G125</f>
        <v>7590.9208699999999</v>
      </c>
      <c r="I125" s="123">
        <f>7569.52326</f>
        <v>7569.5232599999999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357.416</v>
      </c>
      <c r="G126" s="129">
        <f>SUM(G127:G128)</f>
        <v>5401.1113700000005</v>
      </c>
      <c r="H126" s="129">
        <f>H127+H128</f>
        <v>1629.8886299999999</v>
      </c>
      <c r="I126" s="129">
        <f>SUM(I127:I128)</f>
        <v>7534.9647199999999</v>
      </c>
      <c r="J126" s="130"/>
    </row>
    <row r="127" spans="1:10" ht="14.1" customHeight="1" x14ac:dyDescent="0.25">
      <c r="A127" s="1"/>
      <c r="B127" s="255"/>
      <c r="C127" s="60" t="s">
        <v>66</v>
      </c>
      <c r="D127" s="61">
        <v>6819</v>
      </c>
      <c r="E127" s="61">
        <v>6531</v>
      </c>
      <c r="F127" s="123">
        <f>354.15575</f>
        <v>354.15575000000001</v>
      </c>
      <c r="G127" s="123">
        <f>5298.24218</f>
        <v>5298.2421800000002</v>
      </c>
      <c r="H127" s="123">
        <f t="shared" ref="H127:H135" si="15">E127-G127</f>
        <v>1232.7578199999998</v>
      </c>
      <c r="I127" s="123">
        <f>7360.60448</f>
        <v>7360.60448</v>
      </c>
      <c r="J127" s="117"/>
    </row>
    <row r="128" spans="1:10" ht="15" customHeight="1" x14ac:dyDescent="0.25">
      <c r="A128" s="1"/>
      <c r="B128" s="51"/>
      <c r="C128" s="60" t="s">
        <v>67</v>
      </c>
      <c r="D128" s="61">
        <v>500</v>
      </c>
      <c r="E128" s="61">
        <v>500</v>
      </c>
      <c r="F128" s="123">
        <f>3.26025</f>
        <v>3.2602500000000001</v>
      </c>
      <c r="G128" s="123">
        <f>102.86919</f>
        <v>102.86919</v>
      </c>
      <c r="H128" s="123">
        <f t="shared" si="15"/>
        <v>397.13081</v>
      </c>
      <c r="I128" s="123">
        <f>174.36024</f>
        <v>174.36024</v>
      </c>
      <c r="J128" s="131"/>
    </row>
    <row r="129" spans="1:10" ht="15.75" customHeight="1" x14ac:dyDescent="0.25">
      <c r="A129" s="1"/>
      <c r="B129" s="255"/>
      <c r="C129" s="37" t="s">
        <v>11</v>
      </c>
      <c r="D129" s="59">
        <v>9315</v>
      </c>
      <c r="E129" s="59">
        <v>11130</v>
      </c>
      <c r="F129" s="72">
        <f>105.14911</f>
        <v>105.14910999999999</v>
      </c>
      <c r="G129" s="72">
        <f>2343.13827</f>
        <v>2343.1382699999999</v>
      </c>
      <c r="H129" s="72">
        <f t="shared" si="15"/>
        <v>8786.8617300000005</v>
      </c>
      <c r="I129" s="72">
        <f>2324.53854</f>
        <v>2324.53854</v>
      </c>
      <c r="J129" s="117"/>
    </row>
    <row r="130" spans="1:10" ht="15.75" customHeight="1" x14ac:dyDescent="0.25">
      <c r="A130" s="1"/>
      <c r="B130" s="255"/>
      <c r="C130" s="139" t="s">
        <v>34</v>
      </c>
      <c r="D130" s="140">
        <v>146</v>
      </c>
      <c r="E130" s="140">
        <v>146</v>
      </c>
      <c r="F130" s="136">
        <f>0.3356</f>
        <v>0.33560000000000001</v>
      </c>
      <c r="G130" s="136">
        <f>10.86493</f>
        <v>10.864929999999999</v>
      </c>
      <c r="H130" s="136">
        <f t="shared" si="15"/>
        <v>135.13507000000001</v>
      </c>
      <c r="I130" s="136">
        <f>14.14968</f>
        <v>14.14968</v>
      </c>
      <c r="J130" s="117"/>
    </row>
    <row r="131" spans="1:10" ht="15.75" customHeight="1" x14ac:dyDescent="0.2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25">
      <c r="A132" s="1"/>
      <c r="B132" s="255"/>
      <c r="C132" s="137" t="s">
        <v>69</v>
      </c>
      <c r="D132" s="140">
        <v>2000</v>
      </c>
      <c r="E132" s="140">
        <v>2000</v>
      </c>
      <c r="F132" s="136">
        <f>10.29214</f>
        <v>10.29214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2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55"/>
      <c r="C134" s="139" t="s">
        <v>70</v>
      </c>
      <c r="D134" s="140">
        <v>313</v>
      </c>
      <c r="E134" s="140">
        <v>313</v>
      </c>
      <c r="F134" s="95">
        <f>3.2639</f>
        <v>3.2639</v>
      </c>
      <c r="G134" s="95">
        <f>72.64678</f>
        <v>72.646780000000007</v>
      </c>
      <c r="H134" s="136">
        <f t="shared" si="15"/>
        <v>240.35321999999999</v>
      </c>
      <c r="I134" s="95">
        <f>22.90608</f>
        <v>22.906079999999999</v>
      </c>
      <c r="J134" s="117"/>
    </row>
    <row r="135" spans="1:10" ht="15" customHeight="1" x14ac:dyDescent="0.25">
      <c r="A135" s="1"/>
      <c r="B135" s="255"/>
      <c r="C135" s="139" t="s">
        <v>39</v>
      </c>
      <c r="D135" s="142"/>
      <c r="E135" s="140"/>
      <c r="F135" s="136">
        <f>0.122</f>
        <v>0.122</v>
      </c>
      <c r="G135" s="136">
        <f>74.55246</f>
        <v>74.552459999999996</v>
      </c>
      <c r="H135" s="136">
        <f t="shared" si="15"/>
        <v>-74.552459999999996</v>
      </c>
      <c r="I135" s="136">
        <f>109.01069</f>
        <v>109.01069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1363.0013500000002</v>
      </c>
      <c r="G137" s="73">
        <f>G115+G119+G120+G130+G131+G132+G133+G134+G135</f>
        <v>55847.080770000008</v>
      </c>
      <c r="H137" s="73">
        <f>H115+H119+H120+H130+H131+H132+H133+H134+H135</f>
        <v>144451.91922999997</v>
      </c>
      <c r="I137" s="73">
        <f>I115+I119+I120+I130+I131+I132+I133+I134+I135</f>
        <v>71834.044480000011</v>
      </c>
      <c r="J137" s="155"/>
    </row>
    <row r="138" spans="1:10" ht="14.25" customHeight="1" x14ac:dyDescent="0.2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25">
      <c r="A140" s="152"/>
      <c r="B140" s="50"/>
      <c r="C140" s="156" t="s">
        <v>153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25">
      <c r="A141" s="152"/>
      <c r="B141" s="50"/>
      <c r="C141" s="74" t="s">
        <v>146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2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2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" customHeight="1" x14ac:dyDescent="0.2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" customHeight="1" x14ac:dyDescent="0.2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" customHeight="1" x14ac:dyDescent="0.2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" customHeight="1" x14ac:dyDescent="0.2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" customHeight="1" x14ac:dyDescent="0.2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2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2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148</v>
      </c>
      <c r="F159" s="14" t="s">
        <v>149</v>
      </c>
      <c r="G159" s="52" t="s">
        <v>150</v>
      </c>
      <c r="H159" s="14" t="s">
        <v>151</v>
      </c>
      <c r="I159" s="152"/>
      <c r="J159" s="279"/>
    </row>
    <row r="160" spans="1:10" ht="14.1" customHeight="1" x14ac:dyDescent="0.25">
      <c r="A160" s="1"/>
      <c r="B160" s="255"/>
      <c r="C160" s="138" t="s">
        <v>74</v>
      </c>
      <c r="D160" s="91">
        <v>3762</v>
      </c>
      <c r="E160" s="275">
        <f>11.64893</f>
        <v>11.64893</v>
      </c>
      <c r="F160" s="275">
        <f>329.49766</f>
        <v>329.49766</v>
      </c>
      <c r="G160" s="42">
        <f>D160-F160-F161</f>
        <v>3167.0855999999999</v>
      </c>
      <c r="H160" s="275">
        <f>317.4653</f>
        <v>317.46530000000001</v>
      </c>
      <c r="I160" s="1"/>
      <c r="J160" s="117"/>
    </row>
    <row r="161" spans="1:10" ht="14.1" customHeight="1" x14ac:dyDescent="0.25">
      <c r="A161" s="1"/>
      <c r="B161" s="255"/>
      <c r="C161" s="133" t="s">
        <v>53</v>
      </c>
      <c r="D161" s="175"/>
      <c r="E161" s="148">
        <f>3.77549</f>
        <v>3.77549</v>
      </c>
      <c r="F161" s="148">
        <f>265.41674</f>
        <v>265.41674</v>
      </c>
      <c r="G161" s="213"/>
      <c r="H161" s="148">
        <f>265.38558</f>
        <v>265.38558</v>
      </c>
      <c r="I161" s="1"/>
      <c r="J161" s="117"/>
    </row>
    <row r="162" spans="1:10" ht="15.6" customHeight="1" x14ac:dyDescent="0.25">
      <c r="A162" s="1"/>
      <c r="B162" s="255"/>
      <c r="C162" s="163" t="s">
        <v>75</v>
      </c>
      <c r="D162" s="95">
        <v>200</v>
      </c>
      <c r="E162" s="166">
        <f>0</f>
        <v>0</v>
      </c>
      <c r="F162" s="166">
        <f>26.85302</f>
        <v>26.853020000000001</v>
      </c>
      <c r="G162" s="166">
        <f>D162-F162</f>
        <v>173.14697999999999</v>
      </c>
      <c r="H162" s="166">
        <f>24.48638</f>
        <v>24.48638</v>
      </c>
      <c r="I162" s="1"/>
      <c r="J162" s="117"/>
    </row>
    <row r="163" spans="1:10" ht="14.1" customHeight="1" x14ac:dyDescent="0.25">
      <c r="A163" s="65"/>
      <c r="B163" s="75"/>
      <c r="C163" s="174" t="s">
        <v>76</v>
      </c>
      <c r="D163" s="175">
        <v>5642</v>
      </c>
      <c r="E163" s="175">
        <f>E164+E165+E166</f>
        <v>6.5117400000000005</v>
      </c>
      <c r="F163" s="175">
        <f>F164+F165+F166</f>
        <v>86.422599999999989</v>
      </c>
      <c r="G163" s="175">
        <f>D163-F163</f>
        <v>5555.5774000000001</v>
      </c>
      <c r="H163" s="175">
        <f>H164+H165+H166</f>
        <v>39.347170000000006</v>
      </c>
      <c r="I163" s="65"/>
      <c r="J163" s="111"/>
    </row>
    <row r="164" spans="1:10" ht="14.1" customHeight="1" x14ac:dyDescent="0.25">
      <c r="A164" s="192"/>
      <c r="B164" s="176"/>
      <c r="C164" s="177" t="s">
        <v>77</v>
      </c>
      <c r="D164" s="123"/>
      <c r="E164" s="123">
        <f>1.9229</f>
        <v>1.9229000000000001</v>
      </c>
      <c r="F164" s="123">
        <f>28.91684</f>
        <v>28.916840000000001</v>
      </c>
      <c r="G164" s="123"/>
      <c r="H164" s="123">
        <f>19.56161</f>
        <v>19.561610000000002</v>
      </c>
      <c r="I164" s="181"/>
      <c r="J164" s="126"/>
    </row>
    <row r="165" spans="1:10" ht="14.1" customHeight="1" x14ac:dyDescent="0.25">
      <c r="A165" s="192"/>
      <c r="B165" s="176"/>
      <c r="C165" s="177" t="s">
        <v>78</v>
      </c>
      <c r="D165" s="123"/>
      <c r="E165" s="123">
        <f>3.27292</f>
        <v>3.2729200000000001</v>
      </c>
      <c r="F165" s="123">
        <f>30.93178</f>
        <v>30.93178</v>
      </c>
      <c r="G165" s="123"/>
      <c r="H165" s="123">
        <f>11.38408</f>
        <v>11.384080000000001</v>
      </c>
      <c r="I165" s="181"/>
      <c r="J165" s="182"/>
    </row>
    <row r="166" spans="1:10" ht="14.1" customHeight="1" x14ac:dyDescent="0.25">
      <c r="A166" s="192"/>
      <c r="B166" s="176"/>
      <c r="C166" s="183" t="s">
        <v>79</v>
      </c>
      <c r="D166" s="186"/>
      <c r="E166" s="186">
        <f>1.31592</f>
        <v>1.31592</v>
      </c>
      <c r="F166" s="186">
        <f>26.57398</f>
        <v>26.573979999999999</v>
      </c>
      <c r="G166" s="186"/>
      <c r="H166" s="186">
        <f>8.40148</f>
        <v>8.4014799999999994</v>
      </c>
      <c r="I166" s="181"/>
      <c r="J166" s="182"/>
    </row>
    <row r="167" spans="1:10" ht="14.1" customHeight="1" x14ac:dyDescent="0.2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2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21.936160000000001</v>
      </c>
      <c r="F169" s="188">
        <f>F160+F161+F162+F163+F167+F168</f>
        <v>708.19002</v>
      </c>
      <c r="G169" s="188">
        <f>D169-F169</f>
        <v>8966.80998</v>
      </c>
      <c r="H169" s="188">
        <f>H160+H161+H162+H163+H167+H168</f>
        <v>646.68443000000002</v>
      </c>
      <c r="I169" s="159"/>
      <c r="J169" s="155"/>
    </row>
    <row r="170" spans="1:10" ht="42" customHeight="1" x14ac:dyDescent="0.25">
      <c r="A170" s="1"/>
      <c r="B170" s="193"/>
      <c r="C170" s="228" t="s">
        <v>132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2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2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55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55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55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2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55"/>
      <c r="C188" s="68" t="s">
        <v>16</v>
      </c>
      <c r="D188" s="210" t="s">
        <v>2</v>
      </c>
      <c r="E188" s="14" t="s">
        <v>140</v>
      </c>
      <c r="F188" s="68" t="s">
        <v>148</v>
      </c>
      <c r="G188" s="68" t="s">
        <v>149</v>
      </c>
      <c r="H188" s="68" t="s">
        <v>150</v>
      </c>
      <c r="I188" s="68" t="s">
        <v>151</v>
      </c>
      <c r="J188" s="117"/>
    </row>
    <row r="189" spans="1:10" ht="15" customHeight="1" x14ac:dyDescent="0.25">
      <c r="A189" s="1"/>
      <c r="B189" s="255"/>
      <c r="C189" s="90" t="s">
        <v>4</v>
      </c>
      <c r="D189" s="124">
        <v>44142</v>
      </c>
      <c r="E189" s="124">
        <v>43335</v>
      </c>
      <c r="F189" s="124">
        <f>402.88439</f>
        <v>402.88439</v>
      </c>
      <c r="G189" s="124">
        <f>17178.25071</f>
        <v>17178.25071</v>
      </c>
      <c r="H189" s="124">
        <f>D189-G189</f>
        <v>26963.74929</v>
      </c>
      <c r="I189" s="124">
        <f>13041.25669</f>
        <v>13041.25669</v>
      </c>
      <c r="J189" s="117"/>
    </row>
    <row r="190" spans="1:10" ht="15" customHeight="1" x14ac:dyDescent="0.25">
      <c r="A190" s="1"/>
      <c r="B190" s="255"/>
      <c r="C190" s="90" t="s">
        <v>67</v>
      </c>
      <c r="D190" s="124">
        <v>100</v>
      </c>
      <c r="E190" s="124">
        <v>100</v>
      </c>
      <c r="F190" s="124">
        <f>1.105</f>
        <v>1.105</v>
      </c>
      <c r="G190" s="124">
        <f>5.23194</f>
        <v>5.2319399999999998</v>
      </c>
      <c r="H190" s="124">
        <f>D190-G190</f>
        <v>94.768060000000006</v>
      </c>
      <c r="I190" s="124">
        <f>1.58905</f>
        <v>1.5890500000000001</v>
      </c>
      <c r="J190" s="117"/>
    </row>
    <row r="191" spans="1:10" ht="15.75" customHeight="1" x14ac:dyDescent="0.2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403.98939000000001</v>
      </c>
      <c r="G192" s="190">
        <f>SUM(G189:G191)</f>
        <v>17183.482650000002</v>
      </c>
      <c r="H192" s="190">
        <f>D192-G192</f>
        <v>27094.517349999998</v>
      </c>
      <c r="I192" s="190">
        <f>SUM(I189:I191)</f>
        <v>13042.845740000001</v>
      </c>
      <c r="J192" s="117"/>
    </row>
    <row r="193" spans="1:10" ht="12" customHeight="1" x14ac:dyDescent="0.2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2"/>
    </row>
    <row r="195" spans="1:10" ht="15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2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55"/>
      <c r="C201" s="68" t="s">
        <v>16</v>
      </c>
      <c r="D201" s="79" t="s">
        <v>2</v>
      </c>
      <c r="E201" s="68" t="s">
        <v>148</v>
      </c>
      <c r="F201" s="68" t="s">
        <v>149</v>
      </c>
      <c r="G201" s="68" t="s">
        <v>150</v>
      </c>
      <c r="H201" s="68" t="s">
        <v>151</v>
      </c>
      <c r="I201" s="1"/>
      <c r="J201" s="117"/>
    </row>
    <row r="202" spans="1:10" ht="15" customHeight="1" x14ac:dyDescent="0.25">
      <c r="A202" s="1"/>
      <c r="B202" s="255"/>
      <c r="C202" s="90" t="s">
        <v>116</v>
      </c>
      <c r="D202" s="124">
        <v>3987</v>
      </c>
      <c r="E202" s="72">
        <f>E203+E204</f>
        <v>83.105019999999996</v>
      </c>
      <c r="F202" s="72">
        <f>F203+F204</f>
        <v>1223.0658800000001</v>
      </c>
      <c r="G202" s="72">
        <f>D202-F202</f>
        <v>2763.9341199999999</v>
      </c>
      <c r="H202" s="72">
        <f>H203+H204</f>
        <v>1850.12823</v>
      </c>
      <c r="I202" s="249"/>
      <c r="J202" s="117"/>
    </row>
    <row r="203" spans="1:10" ht="15" customHeight="1" x14ac:dyDescent="0.25">
      <c r="A203" s="1"/>
      <c r="B203" s="255"/>
      <c r="C203" s="172" t="s">
        <v>8</v>
      </c>
      <c r="D203" s="124"/>
      <c r="E203" s="72">
        <f>67.51292</f>
        <v>67.512919999999994</v>
      </c>
      <c r="F203" s="72">
        <f>817.31296</f>
        <v>817.31295999999998</v>
      </c>
      <c r="G203" s="72"/>
      <c r="H203" s="72">
        <f>1461.91101</f>
        <v>1461.91101</v>
      </c>
      <c r="I203" s="249"/>
      <c r="J203" s="117"/>
    </row>
    <row r="204" spans="1:10" ht="15" customHeight="1" x14ac:dyDescent="0.25">
      <c r="A204" s="1"/>
      <c r="B204" s="255"/>
      <c r="C204" s="172" t="s">
        <v>67</v>
      </c>
      <c r="D204" s="124"/>
      <c r="E204" s="124">
        <f>15.5921</f>
        <v>15.5921</v>
      </c>
      <c r="F204" s="124">
        <f>405.75292</f>
        <v>405.75292000000002</v>
      </c>
      <c r="G204" s="168"/>
      <c r="H204" s="124">
        <f>388.21722</f>
        <v>388.21722</v>
      </c>
      <c r="I204" s="249"/>
      <c r="J204" s="117"/>
    </row>
    <row r="205" spans="1:10" ht="15" customHeight="1" x14ac:dyDescent="0.25">
      <c r="A205" s="1"/>
      <c r="B205" s="255"/>
      <c r="C205" s="90" t="s">
        <v>117</v>
      </c>
      <c r="D205" s="124">
        <v>4613</v>
      </c>
      <c r="E205" s="72">
        <f>187.53966</f>
        <v>187.53966</v>
      </c>
      <c r="F205" s="72">
        <f>1351.49217</f>
        <v>1351.49217</v>
      </c>
      <c r="G205" s="72">
        <f>D205-F205</f>
        <v>3261.50783</v>
      </c>
      <c r="H205" s="72">
        <f>1854.39589</f>
        <v>1854.39589</v>
      </c>
      <c r="I205" s="249"/>
      <c r="J205" s="117"/>
    </row>
    <row r="206" spans="1:10" ht="16.5" customHeight="1" x14ac:dyDescent="0.25">
      <c r="A206" s="1"/>
      <c r="B206" s="255"/>
      <c r="C206" s="179" t="s">
        <v>86</v>
      </c>
      <c r="D206" s="190">
        <f>D205+D202</f>
        <v>8600</v>
      </c>
      <c r="E206" s="190">
        <f>SUM(E202,E205)</f>
        <v>270.64467999999999</v>
      </c>
      <c r="F206" s="190">
        <f>SUM(F202,F205)</f>
        <v>2574.5580500000001</v>
      </c>
      <c r="G206" s="190">
        <f>D206-F206</f>
        <v>6025.4419500000004</v>
      </c>
      <c r="H206" s="190">
        <f>SUM(H202,H205)</f>
        <v>3704.52412</v>
      </c>
      <c r="I206" s="249"/>
      <c r="J206" s="117"/>
    </row>
    <row r="207" spans="1:10" ht="18.9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5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6" customHeight="1" x14ac:dyDescent="0.3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2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55"/>
      <c r="C214" s="68" t="s">
        <v>16</v>
      </c>
      <c r="D214" s="79" t="s">
        <v>2</v>
      </c>
      <c r="E214" s="68" t="s">
        <v>148</v>
      </c>
      <c r="F214" s="68" t="s">
        <v>149</v>
      </c>
      <c r="G214" s="68" t="s">
        <v>150</v>
      </c>
      <c r="H214" s="68" t="s">
        <v>151</v>
      </c>
      <c r="I214" s="1"/>
      <c r="J214" s="117"/>
    </row>
    <row r="215" spans="1:10" ht="15" customHeight="1" x14ac:dyDescent="0.25">
      <c r="A215" s="1"/>
      <c r="B215" s="255"/>
      <c r="C215" s="90" t="s">
        <v>116</v>
      </c>
      <c r="D215" s="124">
        <v>5090</v>
      </c>
      <c r="E215" s="72">
        <f>E216+E217</f>
        <v>71.480019999999996</v>
      </c>
      <c r="F215" s="72">
        <f>F216+F217</f>
        <v>1223.7501500000001</v>
      </c>
      <c r="G215" s="72">
        <f>D215-F215</f>
        <v>3866.2498500000002</v>
      </c>
      <c r="H215" s="72">
        <f>H216+H217</f>
        <v>1468.1293800000001</v>
      </c>
      <c r="I215" s="249"/>
      <c r="J215" s="117"/>
    </row>
    <row r="216" spans="1:10" ht="15" customHeight="1" x14ac:dyDescent="0.25">
      <c r="A216" s="1"/>
      <c r="B216" s="255"/>
      <c r="C216" s="172" t="s">
        <v>8</v>
      </c>
      <c r="D216" s="124"/>
      <c r="E216" s="72">
        <f>63.4883</f>
        <v>63.488300000000002</v>
      </c>
      <c r="F216" s="72">
        <f>1007.3395</f>
        <v>1007.3395</v>
      </c>
      <c r="G216" s="72"/>
      <c r="H216" s="72">
        <f>1195.6156</f>
        <v>1195.6156000000001</v>
      </c>
      <c r="I216" s="249"/>
      <c r="J216" s="117"/>
    </row>
    <row r="217" spans="1:10" ht="15" customHeight="1" x14ac:dyDescent="0.25">
      <c r="A217" s="1"/>
      <c r="B217" s="255"/>
      <c r="C217" s="172" t="s">
        <v>67</v>
      </c>
      <c r="D217" s="124"/>
      <c r="E217" s="124">
        <f>7.99172</f>
        <v>7.9917199999999999</v>
      </c>
      <c r="F217" s="124">
        <f>216.41065</f>
        <v>216.41065</v>
      </c>
      <c r="G217" s="168"/>
      <c r="H217" s="124">
        <f>272.51378</f>
        <v>272.51378</v>
      </c>
      <c r="I217" s="249"/>
      <c r="J217" s="117"/>
    </row>
    <row r="218" spans="1:10" ht="15" customHeight="1" x14ac:dyDescent="0.25">
      <c r="A218" s="1"/>
      <c r="B218" s="255"/>
      <c r="C218" s="90" t="s">
        <v>117</v>
      </c>
      <c r="D218" s="124">
        <v>2981</v>
      </c>
      <c r="E218" s="72">
        <f>50.62464</f>
        <v>50.624639999999999</v>
      </c>
      <c r="F218" s="72">
        <f>945.80253</f>
        <v>945.80253000000005</v>
      </c>
      <c r="G218" s="72">
        <f>D218-F218</f>
        <v>2035.1974700000001</v>
      </c>
      <c r="H218" s="72">
        <f>1145.01526</f>
        <v>1145.0152599999999</v>
      </c>
      <c r="I218" s="249"/>
      <c r="J218" s="117"/>
    </row>
    <row r="219" spans="1:10" ht="16.5" customHeight="1" x14ac:dyDescent="0.25">
      <c r="A219" s="1"/>
      <c r="B219" s="255"/>
      <c r="C219" s="179" t="s">
        <v>86</v>
      </c>
      <c r="D219" s="190">
        <f>D218+D215</f>
        <v>8071</v>
      </c>
      <c r="E219" s="190">
        <f>SUM(E215,E218)</f>
        <v>122.10466</v>
      </c>
      <c r="F219" s="190">
        <f>SUM(F215,F218)</f>
        <v>2169.5526800000002</v>
      </c>
      <c r="G219" s="190">
        <f>D219-F219</f>
        <v>5901.4473199999993</v>
      </c>
      <c r="H219" s="190">
        <f>SUM(H215,H218)</f>
        <v>2613.14464</v>
      </c>
      <c r="I219" s="249"/>
      <c r="J219" s="117"/>
    </row>
    <row r="220" spans="1:10" ht="18.9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6" customHeight="1" x14ac:dyDescent="0.2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" customHeight="1" x14ac:dyDescent="0.2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" customHeight="1" x14ac:dyDescent="0.2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2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2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" customHeight="1" x14ac:dyDescent="0.2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25">
      <c r="A236" s="1"/>
      <c r="B236" s="255"/>
      <c r="C236" s="68" t="s">
        <v>16</v>
      </c>
      <c r="D236" s="244" t="s">
        <v>2</v>
      </c>
      <c r="E236" s="68" t="s">
        <v>148</v>
      </c>
      <c r="F236" s="68" t="s">
        <v>149</v>
      </c>
      <c r="G236" s="68" t="s">
        <v>150</v>
      </c>
      <c r="H236" s="68" t="s">
        <v>151</v>
      </c>
      <c r="I236" s="1"/>
      <c r="J236" s="111"/>
    </row>
    <row r="237" spans="1:10" ht="14.1" customHeight="1" x14ac:dyDescent="0.25">
      <c r="A237" s="65"/>
      <c r="B237" s="75"/>
      <c r="C237" s="90" t="s">
        <v>92</v>
      </c>
      <c r="D237" s="124">
        <v>800</v>
      </c>
      <c r="E237" s="124">
        <f>9.02811</f>
        <v>9.0281099999999999</v>
      </c>
      <c r="F237" s="124">
        <f>109.56512</f>
        <v>109.56511999999999</v>
      </c>
      <c r="G237" s="124">
        <f>D237-F237</f>
        <v>690.43488000000002</v>
      </c>
      <c r="H237" s="124">
        <f>166.47246</f>
        <v>166.47246000000001</v>
      </c>
      <c r="I237" s="65"/>
      <c r="J237" s="245"/>
    </row>
    <row r="238" spans="1:10" ht="14.1" customHeight="1" x14ac:dyDescent="0.25">
      <c r="A238" s="1"/>
      <c r="B238" s="255"/>
      <c r="C238" s="90" t="s">
        <v>93</v>
      </c>
      <c r="D238" s="247">
        <v>2193</v>
      </c>
      <c r="E238" s="124">
        <f>11.11556</f>
        <v>11.11556</v>
      </c>
      <c r="F238" s="124">
        <f>220.05975</f>
        <v>220.05975000000001</v>
      </c>
      <c r="G238" s="124">
        <f>D238-F238</f>
        <v>1972.9402500000001</v>
      </c>
      <c r="H238" s="124">
        <f>351.24836</f>
        <v>351.24835999999999</v>
      </c>
      <c r="I238" s="173"/>
      <c r="J238" s="111"/>
    </row>
    <row r="239" spans="1:10" ht="16.5" customHeight="1" x14ac:dyDescent="0.2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25">
      <c r="A240" s="65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3"/>
      <c r="J240" s="117"/>
    </row>
    <row r="241" spans="1:10" ht="14.1" customHeight="1" x14ac:dyDescent="0.25">
      <c r="A241" s="1"/>
      <c r="B241" s="255"/>
      <c r="C241" s="179" t="s">
        <v>86</v>
      </c>
      <c r="D241" s="5">
        <f>D226</f>
        <v>3003</v>
      </c>
      <c r="E241" s="190">
        <f>SUM(E237:E240)</f>
        <v>20.14367</v>
      </c>
      <c r="F241" s="190">
        <f>SUM(F237:F240)</f>
        <v>329.69700999999998</v>
      </c>
      <c r="G241" s="190">
        <f>D241-F241</f>
        <v>2673.3029900000001</v>
      </c>
      <c r="H241" s="190">
        <f>H237+H238+H239+H240</f>
        <v>518.37788</v>
      </c>
      <c r="I241" s="1"/>
      <c r="J241" s="117"/>
    </row>
    <row r="242" spans="1:10" ht="14.1" customHeight="1" x14ac:dyDescent="0.2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5.95" customHeight="1" x14ac:dyDescent="0.25">
      <c r="A244" s="1"/>
      <c r="C244" s="145" t="s">
        <v>112</v>
      </c>
    </row>
    <row r="245" spans="1:10" ht="14.1" customHeight="1" x14ac:dyDescent="0.25">
      <c r="A245" s="1" t="s">
        <v>112</v>
      </c>
    </row>
    <row r="246" spans="1:10" ht="30" customHeight="1" x14ac:dyDescent="0.3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2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" customHeight="1" x14ac:dyDescent="0.2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35" customHeight="1" x14ac:dyDescent="0.2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2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25">
      <c r="B261" s="69"/>
      <c r="C261" s="224" t="s">
        <v>16</v>
      </c>
      <c r="D261" s="233" t="s">
        <v>17</v>
      </c>
      <c r="E261" s="68" t="s">
        <v>136</v>
      </c>
      <c r="F261" s="224" t="s">
        <v>148</v>
      </c>
      <c r="G261" s="224" t="s">
        <v>149</v>
      </c>
      <c r="H261" s="224" t="s">
        <v>150</v>
      </c>
      <c r="I261" s="224" t="s">
        <v>151</v>
      </c>
      <c r="J261" s="127"/>
    </row>
    <row r="262" spans="1:10" ht="14.1" customHeight="1" x14ac:dyDescent="0.2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72.511499999999998</v>
      </c>
      <c r="G262" s="254">
        <f t="shared" si="17"/>
        <v>1570.1746900000001</v>
      </c>
      <c r="H262" s="254">
        <f>H266+H265+H264+H263</f>
        <v>26165.82531</v>
      </c>
      <c r="I262" s="254">
        <f t="shared" si="17"/>
        <v>4404.6691200000005</v>
      </c>
      <c r="J262" s="127"/>
    </row>
    <row r="263" spans="1:10" ht="14.1" customHeight="1" x14ac:dyDescent="0.25">
      <c r="A263" s="215"/>
      <c r="B263" s="69"/>
      <c r="C263" s="256" t="s">
        <v>102</v>
      </c>
      <c r="D263" s="257">
        <v>14132</v>
      </c>
      <c r="E263" s="257">
        <v>16670</v>
      </c>
      <c r="F263" s="258">
        <f>0</f>
        <v>0</v>
      </c>
      <c r="G263" s="258">
        <f>652.18344</f>
        <v>652.18344000000002</v>
      </c>
      <c r="H263" s="258">
        <f t="shared" ref="H263:H267" si="18">E263-G263</f>
        <v>16017.816559999999</v>
      </c>
      <c r="I263" s="258">
        <f>3242.01051</f>
        <v>3242.0105100000001</v>
      </c>
      <c r="J263" s="127"/>
    </row>
    <row r="264" spans="1:10" ht="14.1" customHeight="1" x14ac:dyDescent="0.25">
      <c r="A264" s="215"/>
      <c r="B264" s="69"/>
      <c r="C264" s="260" t="s">
        <v>21</v>
      </c>
      <c r="D264" s="257">
        <v>3678</v>
      </c>
      <c r="E264" s="257">
        <v>4339</v>
      </c>
      <c r="F264" s="258">
        <f>2.4975</f>
        <v>2.4975000000000001</v>
      </c>
      <c r="G264" s="258">
        <f>124.4025</f>
        <v>124.4025</v>
      </c>
      <c r="H264" s="258">
        <f t="shared" si="18"/>
        <v>4214.5974999999999</v>
      </c>
      <c r="I264" s="258">
        <f>411.9444</f>
        <v>411.94439999999997</v>
      </c>
      <c r="J264" s="127"/>
    </row>
    <row r="265" spans="1:10" ht="14.1" customHeight="1" x14ac:dyDescent="0.25">
      <c r="A265" s="215"/>
      <c r="B265" s="69"/>
      <c r="C265" s="260" t="s">
        <v>99</v>
      </c>
      <c r="D265" s="257">
        <v>1506</v>
      </c>
      <c r="E265" s="257">
        <v>1571</v>
      </c>
      <c r="F265" s="258">
        <f>55.6272</f>
        <v>55.627200000000002</v>
      </c>
      <c r="G265" s="258">
        <f>437.09876</f>
        <v>437.09876000000003</v>
      </c>
      <c r="H265" s="258">
        <f t="shared" si="18"/>
        <v>1133.9012399999999</v>
      </c>
      <c r="I265" s="258">
        <f>719.54581</f>
        <v>719.54580999999996</v>
      </c>
      <c r="J265" s="127"/>
    </row>
    <row r="266" spans="1:10" ht="14.1" customHeight="1" x14ac:dyDescent="0.25">
      <c r="A266" s="215"/>
      <c r="B266" s="69"/>
      <c r="C266" s="262" t="s">
        <v>122</v>
      </c>
      <c r="D266" s="263">
        <v>5043</v>
      </c>
      <c r="E266" s="263">
        <v>5156</v>
      </c>
      <c r="F266" s="258">
        <f>14.3868</f>
        <v>14.386799999999999</v>
      </c>
      <c r="G266" s="258">
        <f>356.48999</f>
        <v>356.48998999999998</v>
      </c>
      <c r="H266" s="258">
        <f t="shared" si="18"/>
        <v>4799.51001</v>
      </c>
      <c r="I266" s="258">
        <f>31.1684</f>
        <v>31.168399999999998</v>
      </c>
      <c r="J266" s="127"/>
    </row>
    <row r="267" spans="1:10" ht="14.1" customHeight="1" x14ac:dyDescent="0.25">
      <c r="A267" s="215"/>
      <c r="B267" s="69"/>
      <c r="C267" s="265" t="s">
        <v>59</v>
      </c>
      <c r="D267" s="266">
        <v>5500</v>
      </c>
      <c r="E267" s="266">
        <v>5500</v>
      </c>
      <c r="F267" s="268">
        <f>56.91992</f>
        <v>56.919919999999998</v>
      </c>
      <c r="G267" s="268">
        <f>87.57984</f>
        <v>87.579840000000004</v>
      </c>
      <c r="H267" s="268">
        <f t="shared" si="18"/>
        <v>5412.4201599999997</v>
      </c>
      <c r="I267" s="268">
        <f>67.14256</f>
        <v>67.142560000000003</v>
      </c>
      <c r="J267" s="127"/>
    </row>
    <row r="268" spans="1:10" ht="14.1" customHeight="1" x14ac:dyDescent="0.2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11.16436</v>
      </c>
      <c r="G268" s="269">
        <f>G270+G269</f>
        <v>1042.5836300000001</v>
      </c>
      <c r="H268" s="269">
        <f>E268-G268</f>
        <v>6957.4163699999999</v>
      </c>
      <c r="I268" s="269">
        <f>I270+I269</f>
        <v>1193.9828600000001</v>
      </c>
      <c r="J268" s="127"/>
    </row>
    <row r="269" spans="1:10" ht="14.1" customHeight="1" x14ac:dyDescent="0.2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447.26843</f>
        <v>447.26843000000002</v>
      </c>
      <c r="H269" s="258"/>
      <c r="I269" s="258">
        <f>517.07376</f>
        <v>517.07375999999999</v>
      </c>
      <c r="J269" s="127"/>
    </row>
    <row r="270" spans="1:10" ht="14.1" customHeight="1" x14ac:dyDescent="0.25">
      <c r="A270" s="215"/>
      <c r="B270" s="69"/>
      <c r="C270" s="273" t="s">
        <v>103</v>
      </c>
      <c r="D270" s="274"/>
      <c r="E270" s="276"/>
      <c r="F270" s="277">
        <f>11.16436</f>
        <v>11.16436</v>
      </c>
      <c r="G270" s="277">
        <f>595.3152</f>
        <v>595.3152</v>
      </c>
      <c r="H270" s="277"/>
      <c r="I270" s="277">
        <f>676.9091</f>
        <v>676.90909999999997</v>
      </c>
      <c r="J270" s="127"/>
    </row>
    <row r="271" spans="1:10" ht="14.1" customHeight="1" x14ac:dyDescent="0.2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" customHeight="1" x14ac:dyDescent="0.25">
      <c r="A272" s="215"/>
      <c r="B272" s="69"/>
      <c r="C272" s="278" t="s">
        <v>104</v>
      </c>
      <c r="D272" s="281"/>
      <c r="E272" s="282"/>
      <c r="F272" s="268">
        <f>0.0162</f>
        <v>1.6199999999999999E-2</v>
      </c>
      <c r="G272" s="268">
        <f>3.88738</f>
        <v>3.8873799999999998</v>
      </c>
      <c r="H272" s="268">
        <f>E272-G272</f>
        <v>-3.8873799999999998</v>
      </c>
      <c r="I272" s="268">
        <f>4.1096</f>
        <v>4.1096000000000004</v>
      </c>
      <c r="J272" s="127"/>
    </row>
    <row r="273" spans="1:10" ht="19.5" customHeight="1" x14ac:dyDescent="0.2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140.61197999999999</v>
      </c>
      <c r="G273" s="286">
        <f t="shared" si="19"/>
        <v>2704.2390400000004</v>
      </c>
      <c r="H273" s="286">
        <f>H262+H267+H268+H271+H272</f>
        <v>38544.76096</v>
      </c>
      <c r="I273" s="286">
        <f t="shared" si="19"/>
        <v>5669.9305400000003</v>
      </c>
      <c r="J273" s="127"/>
    </row>
    <row r="274" spans="1:10" ht="14.1" customHeight="1" x14ac:dyDescent="0.2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" customHeight="1" x14ac:dyDescent="0.2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" customHeight="1" x14ac:dyDescent="0.25">
      <c r="A276" s="215"/>
      <c r="B276" s="69"/>
      <c r="C276" s="156" t="s">
        <v>138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2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15"/>
      <c r="C279" s="145" t="s">
        <v>112</v>
      </c>
      <c r="D279" s="152"/>
    </row>
    <row r="280" spans="1:10" ht="14.1" customHeight="1" x14ac:dyDescent="0.2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" customHeight="1" x14ac:dyDescent="0.2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" customHeight="1" x14ac:dyDescent="0.2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15"/>
      <c r="B288" s="69"/>
      <c r="C288" s="307" t="s">
        <v>120</v>
      </c>
      <c r="D288" s="307"/>
      <c r="E288" s="307"/>
      <c r="F288" s="307"/>
      <c r="G288" s="208"/>
      <c r="H288" s="208"/>
      <c r="I288" s="145"/>
      <c r="J288" s="127"/>
    </row>
    <row r="289" spans="1:10" ht="14.1" customHeight="1" x14ac:dyDescent="0.2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25">
      <c r="A293" s="215"/>
      <c r="B293" s="193"/>
      <c r="C293" s="19" t="s">
        <v>107</v>
      </c>
      <c r="D293" s="21" t="s">
        <v>108</v>
      </c>
      <c r="E293" s="19" t="s">
        <v>148</v>
      </c>
      <c r="F293" s="19" t="s">
        <v>149</v>
      </c>
      <c r="G293" s="23" t="s">
        <v>150</v>
      </c>
      <c r="H293" s="19" t="s">
        <v>151</v>
      </c>
      <c r="I293" s="225"/>
      <c r="J293" s="13"/>
    </row>
    <row r="294" spans="1:10" ht="14.1" customHeight="1" x14ac:dyDescent="0.2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" customHeight="1" x14ac:dyDescent="0.2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" customHeight="1" x14ac:dyDescent="0.2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" customHeight="1" x14ac:dyDescent="0.2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986.02525000000003</v>
      </c>
      <c r="G297" s="82">
        <f>D297-F297</f>
        <v>-92.025250000000028</v>
      </c>
      <c r="H297" s="25">
        <f>SUM(H298:H299)</f>
        <v>1222.0429799999999</v>
      </c>
      <c r="I297" s="26"/>
      <c r="J297" s="127"/>
    </row>
    <row r="298" spans="1:10" ht="14.1" customHeight="1" x14ac:dyDescent="0.25">
      <c r="A298" s="215"/>
      <c r="B298" s="69"/>
      <c r="C298" s="28" t="s">
        <v>8</v>
      </c>
      <c r="D298" s="41"/>
      <c r="E298" s="29">
        <f>0</f>
        <v>0</v>
      </c>
      <c r="F298" s="29">
        <f>763.93023</f>
        <v>763.93023000000005</v>
      </c>
      <c r="G298" s="94"/>
      <c r="H298" s="29">
        <f>982.54229</f>
        <v>982.54228999999998</v>
      </c>
      <c r="I298" s="145"/>
      <c r="J298" s="127"/>
    </row>
    <row r="299" spans="1:10" ht="14.1" customHeight="1" x14ac:dyDescent="0.25">
      <c r="A299" s="215"/>
      <c r="B299" s="69"/>
      <c r="C299" s="28" t="s">
        <v>11</v>
      </c>
      <c r="D299" s="222"/>
      <c r="E299" s="29">
        <f>0</f>
        <v>0</v>
      </c>
      <c r="F299" s="29">
        <f>222.09502</f>
        <v>222.09502000000001</v>
      </c>
      <c r="G299" s="105"/>
      <c r="H299" s="29">
        <f>239.50069</f>
        <v>239.50068999999999</v>
      </c>
      <c r="I299" s="145"/>
      <c r="J299" s="127"/>
    </row>
    <row r="300" spans="1:10" ht="14.1" customHeight="1" x14ac:dyDescent="0.25">
      <c r="A300" s="215"/>
      <c r="B300" s="69"/>
      <c r="C300" s="265" t="s">
        <v>111</v>
      </c>
      <c r="D300" s="9">
        <v>893</v>
      </c>
      <c r="E300" s="34">
        <f>SUM(E301:E302)</f>
        <v>68.484800000000007</v>
      </c>
      <c r="F300" s="34">
        <f>SUM(F301:F302)</f>
        <v>297.46553999999998</v>
      </c>
      <c r="G300" s="82">
        <f>D300-F300</f>
        <v>595.53446000000008</v>
      </c>
      <c r="H300" s="34">
        <f>SUM(H301:H302)</f>
        <v>354.83767</v>
      </c>
      <c r="I300" s="145"/>
      <c r="J300" s="127"/>
    </row>
    <row r="301" spans="1:10" ht="14.1" customHeight="1" x14ac:dyDescent="0.25">
      <c r="A301" s="215"/>
      <c r="B301" s="69"/>
      <c r="C301" s="28" t="s">
        <v>8</v>
      </c>
      <c r="D301" s="41"/>
      <c r="E301" s="29">
        <f>46.1295</f>
        <v>46.1295</v>
      </c>
      <c r="F301" s="29">
        <f>202.5461</f>
        <v>202.5461</v>
      </c>
      <c r="G301" s="94"/>
      <c r="H301" s="29">
        <f>240.38514</f>
        <v>240.38514000000001</v>
      </c>
      <c r="I301" s="145"/>
      <c r="J301" s="127"/>
    </row>
    <row r="302" spans="1:10" ht="14.1" customHeight="1" x14ac:dyDescent="0.25">
      <c r="A302" s="215"/>
      <c r="B302" s="69"/>
      <c r="C302" s="28" t="s">
        <v>11</v>
      </c>
      <c r="D302" s="222"/>
      <c r="E302" s="29">
        <f>22.3553</f>
        <v>22.3553</v>
      </c>
      <c r="F302" s="29">
        <f>94.91944</f>
        <v>94.919439999999994</v>
      </c>
      <c r="G302" s="105"/>
      <c r="H302" s="29">
        <f>114.45253</f>
        <v>114.45253</v>
      </c>
      <c r="I302" s="145"/>
      <c r="J302" s="127"/>
    </row>
    <row r="303" spans="1:10" ht="14.1" customHeight="1" x14ac:dyDescent="0.2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68.484800000000007</v>
      </c>
      <c r="F304" s="39">
        <f>F294+F297+F300+F303</f>
        <v>2306.6966700000003</v>
      </c>
      <c r="G304" s="40">
        <f>D304-F304</f>
        <v>374.30332999999973</v>
      </c>
      <c r="H304" s="39">
        <f>H294+H297+H300+H303</f>
        <v>2565.2818799999995</v>
      </c>
      <c r="I304" s="26"/>
      <c r="J304" s="127"/>
    </row>
    <row r="305" spans="1:10" ht="42" customHeight="1" x14ac:dyDescent="0.25">
      <c r="A305" s="215"/>
      <c r="B305" s="69"/>
      <c r="C305" s="300" t="s">
        <v>115</v>
      </c>
      <c r="D305" s="300"/>
      <c r="E305" s="300"/>
      <c r="F305" s="300"/>
      <c r="G305" s="300"/>
      <c r="H305" s="300"/>
      <c r="I305" s="300"/>
      <c r="J305" s="301"/>
    </row>
    <row r="306" spans="1:10" ht="14.1" customHeight="1" x14ac:dyDescent="0.2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25"/>
    <row r="308" spans="1:10" ht="0" hidden="1" customHeight="1" x14ac:dyDescent="0.25"/>
    <row r="309" spans="1:10" ht="0" hidden="1" customHeight="1" x14ac:dyDescent="0.25"/>
    <row r="310" spans="1:10" ht="0" hidden="1" customHeight="1" x14ac:dyDescent="0.25"/>
    <row r="311" spans="1:10" ht="0" hidden="1" customHeight="1" x14ac:dyDescent="0.25"/>
    <row r="312" spans="1:10" ht="0" hidden="1" customHeight="1" x14ac:dyDescent="0.25"/>
    <row r="313" spans="1:10" ht="0" hidden="1" customHeight="1" x14ac:dyDescent="0.25"/>
    <row r="314" spans="1:10" ht="0" hidden="1" customHeight="1" x14ac:dyDescent="0.25"/>
    <row r="315" spans="1:10" ht="0" hidden="1" customHeight="1" x14ac:dyDescent="0.25"/>
    <row r="316" spans="1:10" ht="0" hidden="1" customHeight="1" x14ac:dyDescent="0.25"/>
    <row r="317" spans="1:10" ht="0" hidden="1" customHeight="1" x14ac:dyDescent="0.25"/>
    <row r="318" spans="1:10" ht="0" hidden="1" customHeight="1" x14ac:dyDescent="0.25"/>
    <row r="319" spans="1:10" ht="0" hidden="1" customHeight="1" x14ac:dyDescent="0.25"/>
    <row r="320" spans="1:1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15.95" customHeight="1" x14ac:dyDescent="0.25"/>
    <row r="65491" ht="16.5" customHeight="1" x14ac:dyDescent="0.25"/>
  </sheetData>
  <mergeCells count="15"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14&amp;R07.04.2025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Lars Krogstad</cp:lastModifiedBy>
  <cp:lastPrinted>2025-04-07T09:01:05Z</cp:lastPrinted>
  <dcterms:created xsi:type="dcterms:W3CDTF">2022-08-01T13:23:35Z</dcterms:created>
  <dcterms:modified xsi:type="dcterms:W3CDTF">2025-04-07T09:01:20Z</dcterms:modified>
</cp:coreProperties>
</file>