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3\"/>
    </mc:Choice>
  </mc:AlternateContent>
  <xr:revisionPtr revIDLastSave="0" documentId="13_ncr:1_{5F93859E-AE4E-4A5F-9561-5EF566F8B5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8" i="1" l="1"/>
  <c r="G148" i="1"/>
  <c r="F148" i="1"/>
  <c r="G132" i="1" l="1"/>
  <c r="H419" i="1" l="1"/>
  <c r="F419" i="1"/>
  <c r="E419" i="1"/>
  <c r="H418" i="1"/>
  <c r="F418" i="1"/>
  <c r="E418" i="1"/>
  <c r="E417" i="1" s="1"/>
  <c r="H417" i="1"/>
  <c r="F417" i="1"/>
  <c r="H416" i="1"/>
  <c r="F416" i="1"/>
  <c r="E416" i="1"/>
  <c r="H415" i="1"/>
  <c r="F415" i="1"/>
  <c r="F414" i="1" s="1"/>
  <c r="E415" i="1"/>
  <c r="E414" i="1" s="1"/>
  <c r="H414" i="1"/>
  <c r="H413" i="1"/>
  <c r="F413" i="1"/>
  <c r="E413" i="1"/>
  <c r="E411" i="1" s="1"/>
  <c r="E421" i="1" s="1"/>
  <c r="H412" i="1"/>
  <c r="H411" i="1" s="1"/>
  <c r="H421" i="1" s="1"/>
  <c r="F412" i="1"/>
  <c r="F411" i="1" s="1"/>
  <c r="E412" i="1"/>
  <c r="E389" i="1"/>
  <c r="I388" i="1"/>
  <c r="H388" i="1"/>
  <c r="G388" i="1"/>
  <c r="F388" i="1"/>
  <c r="I387" i="1"/>
  <c r="G387" i="1"/>
  <c r="H387" i="1" s="1"/>
  <c r="F387" i="1"/>
  <c r="I386" i="1"/>
  <c r="G386" i="1"/>
  <c r="F386" i="1"/>
  <c r="I385" i="1"/>
  <c r="G385" i="1"/>
  <c r="G384" i="1" s="1"/>
  <c r="H384" i="1" s="1"/>
  <c r="F385" i="1"/>
  <c r="F384" i="1" s="1"/>
  <c r="I384" i="1"/>
  <c r="I383" i="1"/>
  <c r="H383" i="1"/>
  <c r="G383" i="1"/>
  <c r="F383" i="1"/>
  <c r="I382" i="1"/>
  <c r="G382" i="1"/>
  <c r="H382" i="1" s="1"/>
  <c r="H378" i="1" s="1"/>
  <c r="H389" i="1" s="1"/>
  <c r="F382" i="1"/>
  <c r="I381" i="1"/>
  <c r="H381" i="1"/>
  <c r="G381" i="1"/>
  <c r="G378" i="1" s="1"/>
  <c r="F381" i="1"/>
  <c r="F378" i="1" s="1"/>
  <c r="I380" i="1"/>
  <c r="G380" i="1"/>
  <c r="H380" i="1" s="1"/>
  <c r="F380" i="1"/>
  <c r="I379" i="1"/>
  <c r="H379" i="1"/>
  <c r="G379" i="1"/>
  <c r="F379" i="1"/>
  <c r="I378" i="1"/>
  <c r="I389" i="1" s="1"/>
  <c r="E378" i="1"/>
  <c r="D378" i="1"/>
  <c r="D389" i="1" s="1"/>
  <c r="H370" i="1"/>
  <c r="F370" i="1"/>
  <c r="D352" i="1"/>
  <c r="H351" i="1"/>
  <c r="F351" i="1"/>
  <c r="E351" i="1"/>
  <c r="H350" i="1"/>
  <c r="F350" i="1"/>
  <c r="G350" i="1" s="1"/>
  <c r="E350" i="1"/>
  <c r="H349" i="1"/>
  <c r="G349" i="1"/>
  <c r="F349" i="1"/>
  <c r="E349" i="1"/>
  <c r="H348" i="1"/>
  <c r="H352" i="1" s="1"/>
  <c r="F348" i="1"/>
  <c r="G348" i="1" s="1"/>
  <c r="E348" i="1"/>
  <c r="E352" i="1" s="1"/>
  <c r="D341" i="1"/>
  <c r="E297" i="1"/>
  <c r="H296" i="1"/>
  <c r="F296" i="1"/>
  <c r="E296" i="1"/>
  <c r="H295" i="1"/>
  <c r="F295" i="1"/>
  <c r="E295" i="1"/>
  <c r="H294" i="1"/>
  <c r="H297" i="1" s="1"/>
  <c r="F294" i="1"/>
  <c r="F297" i="1" s="1"/>
  <c r="G297" i="1" s="1"/>
  <c r="E294" i="1"/>
  <c r="H251" i="1"/>
  <c r="H252" i="1" s="1"/>
  <c r="F251" i="1"/>
  <c r="E251" i="1"/>
  <c r="E252" i="1" s="1"/>
  <c r="H250" i="1"/>
  <c r="F250" i="1"/>
  <c r="E250" i="1"/>
  <c r="H249" i="1"/>
  <c r="F249" i="1"/>
  <c r="F252" i="1" s="1"/>
  <c r="G252" i="1" s="1"/>
  <c r="E249" i="1"/>
  <c r="H207" i="1"/>
  <c r="D207" i="1"/>
  <c r="G206" i="1"/>
  <c r="H205" i="1"/>
  <c r="F205" i="1"/>
  <c r="G205" i="1" s="1"/>
  <c r="E205" i="1"/>
  <c r="E207" i="1" s="1"/>
  <c r="H204" i="1"/>
  <c r="G204" i="1"/>
  <c r="F204" i="1"/>
  <c r="E204" i="1"/>
  <c r="D184" i="1"/>
  <c r="H182" i="1"/>
  <c r="G182" i="1"/>
  <c r="F182" i="1"/>
  <c r="E182" i="1"/>
  <c r="H181" i="1"/>
  <c r="F181" i="1"/>
  <c r="E181" i="1"/>
  <c r="H180" i="1"/>
  <c r="F180" i="1"/>
  <c r="E180" i="1"/>
  <c r="H179" i="1"/>
  <c r="F179" i="1"/>
  <c r="F178" i="1" s="1"/>
  <c r="G178" i="1" s="1"/>
  <c r="E179" i="1"/>
  <c r="E178" i="1" s="1"/>
  <c r="E184" i="1" s="1"/>
  <c r="H178" i="1"/>
  <c r="H177" i="1"/>
  <c r="F177" i="1"/>
  <c r="G177" i="1" s="1"/>
  <c r="E177" i="1"/>
  <c r="H176" i="1"/>
  <c r="H184" i="1" s="1"/>
  <c r="F176" i="1"/>
  <c r="F184" i="1" s="1"/>
  <c r="G184" i="1" s="1"/>
  <c r="E176" i="1"/>
  <c r="H175" i="1"/>
  <c r="F175" i="1"/>
  <c r="E175" i="1"/>
  <c r="D150" i="1"/>
  <c r="G147" i="1"/>
  <c r="H147" i="1" s="1"/>
  <c r="F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I139" i="1" s="1"/>
  <c r="G140" i="1"/>
  <c r="H140" i="1" s="1"/>
  <c r="H139" i="1" s="1"/>
  <c r="F140" i="1"/>
  <c r="F139" i="1"/>
  <c r="E139" i="1"/>
  <c r="I138" i="1"/>
  <c r="H138" i="1"/>
  <c r="F138" i="1"/>
  <c r="I137" i="1"/>
  <c r="H137" i="1"/>
  <c r="F137" i="1"/>
  <c r="I136" i="1"/>
  <c r="H136" i="1"/>
  <c r="F136" i="1"/>
  <c r="I135" i="1"/>
  <c r="G134" i="1"/>
  <c r="F135" i="1"/>
  <c r="F134" i="1" s="1"/>
  <c r="F133" i="1" s="1"/>
  <c r="I134" i="1"/>
  <c r="I133" i="1" s="1"/>
  <c r="E134" i="1"/>
  <c r="E133" i="1"/>
  <c r="E150" i="1" s="1"/>
  <c r="I132" i="1"/>
  <c r="H132" i="1"/>
  <c r="F132" i="1"/>
  <c r="H131" i="1"/>
  <c r="G131" i="1"/>
  <c r="F131" i="1"/>
  <c r="I130" i="1"/>
  <c r="I128" i="1" s="1"/>
  <c r="G130" i="1"/>
  <c r="H130" i="1" s="1"/>
  <c r="F130" i="1"/>
  <c r="I129" i="1"/>
  <c r="H129" i="1"/>
  <c r="H128" i="1" s="1"/>
  <c r="G129" i="1"/>
  <c r="G128" i="1" s="1"/>
  <c r="F129" i="1"/>
  <c r="F128" i="1" s="1"/>
  <c r="F150" i="1" s="1"/>
  <c r="E128" i="1"/>
  <c r="C126" i="1"/>
  <c r="H106" i="1"/>
  <c r="H105" i="1"/>
  <c r="G105" i="1"/>
  <c r="F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H97" i="1"/>
  <c r="H96" i="1" s="1"/>
  <c r="H95" i="1" s="1"/>
  <c r="G97" i="1"/>
  <c r="G96" i="1" s="1"/>
  <c r="G95" i="1" s="1"/>
  <c r="G107" i="1" s="1"/>
  <c r="F97" i="1"/>
  <c r="F96" i="1" s="1"/>
  <c r="F95" i="1" s="1"/>
  <c r="I96" i="1"/>
  <c r="I95" i="1" s="1"/>
  <c r="E96" i="1"/>
  <c r="D96" i="1"/>
  <c r="D95" i="1" s="1"/>
  <c r="D107" i="1" s="1"/>
  <c r="E95" i="1"/>
  <c r="I94" i="1"/>
  <c r="H94" i="1"/>
  <c r="G94" i="1"/>
  <c r="F94" i="1"/>
  <c r="F92" i="1" s="1"/>
  <c r="F107" i="1" s="1"/>
  <c r="I93" i="1"/>
  <c r="I92" i="1" s="1"/>
  <c r="I107" i="1" s="1"/>
  <c r="G93" i="1"/>
  <c r="H93" i="1" s="1"/>
  <c r="H92" i="1" s="1"/>
  <c r="F93" i="1"/>
  <c r="G92" i="1"/>
  <c r="E92" i="1"/>
  <c r="E107" i="1" s="1"/>
  <c r="C89" i="1"/>
  <c r="H85" i="1"/>
  <c r="F85" i="1"/>
  <c r="D85" i="1"/>
  <c r="G61" i="1"/>
  <c r="G60" i="1"/>
  <c r="H55" i="1"/>
  <c r="I32" i="1" s="1"/>
  <c r="G55" i="1"/>
  <c r="F55" i="1"/>
  <c r="E55" i="1"/>
  <c r="F32" i="1" s="1"/>
  <c r="E44" i="1"/>
  <c r="D44" i="1"/>
  <c r="H43" i="1"/>
  <c r="H42" i="1"/>
  <c r="G41" i="1"/>
  <c r="H41" i="1" s="1"/>
  <c r="F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G34" i="1" s="1"/>
  <c r="F36" i="1"/>
  <c r="I35" i="1"/>
  <c r="I34" i="1" s="1"/>
  <c r="G35" i="1"/>
  <c r="H35" i="1" s="1"/>
  <c r="F35" i="1"/>
  <c r="F34" i="1" s="1"/>
  <c r="I33" i="1"/>
  <c r="G33" i="1"/>
  <c r="H33" i="1" s="1"/>
  <c r="F33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5" i="1"/>
  <c r="G25" i="1"/>
  <c r="H25" i="1" s="1"/>
  <c r="F25" i="1"/>
  <c r="F23" i="1" s="1"/>
  <c r="I24" i="1"/>
  <c r="I23" i="1" s="1"/>
  <c r="G24" i="1"/>
  <c r="H24" i="1" s="1"/>
  <c r="F24" i="1"/>
  <c r="H16" i="1"/>
  <c r="F16" i="1"/>
  <c r="D16" i="1"/>
  <c r="I27" i="1" l="1"/>
  <c r="I26" i="1" s="1"/>
  <c r="I44" i="1" s="1"/>
  <c r="F27" i="1"/>
  <c r="F26" i="1" s="1"/>
  <c r="F44" i="1" s="1"/>
  <c r="H23" i="1"/>
  <c r="H107" i="1"/>
  <c r="F389" i="1"/>
  <c r="H34" i="1"/>
  <c r="G389" i="1"/>
  <c r="I150" i="1"/>
  <c r="H27" i="1"/>
  <c r="F421" i="1"/>
  <c r="H36" i="1"/>
  <c r="G23" i="1"/>
  <c r="G27" i="1"/>
  <c r="G26" i="1" s="1"/>
  <c r="H135" i="1"/>
  <c r="H134" i="1" s="1"/>
  <c r="H133" i="1" s="1"/>
  <c r="H150" i="1" s="1"/>
  <c r="G139" i="1"/>
  <c r="G133" i="1" s="1"/>
  <c r="G150" i="1" s="1"/>
  <c r="G175" i="1"/>
  <c r="F352" i="1"/>
  <c r="G352" i="1" s="1"/>
  <c r="F207" i="1"/>
  <c r="G207" i="1" s="1"/>
  <c r="H26" i="1" l="1"/>
  <c r="H44" i="1" s="1"/>
  <c r="G44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<sst xmlns="http://schemas.openxmlformats.org/spreadsheetml/2006/main" count="358" uniqueCount="150">
  <si>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</si>
  <si>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</si>
  <si>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</si>
  <si>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</si>
  <si>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</si>
  <si>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</si>
  <si>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</si>
  <si>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</si>
  <si>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</si>
  <si>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</si>
  <si>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</si>
  <si>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</si>
  <si>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</si>
  <si>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</si>
  <si>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</si>
  <si>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</si>
  <si>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</si>
  <si>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</si>
  <si>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</si>
  <si>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</si>
  <si>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</si>
  <si>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</si>
  <si>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</si>
  <si>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</si>
  <si>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</si>
  <si>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</si>
  <si>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</si>
  <si>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</si>
  <si>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</si>
  <si>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</si>
  <si>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</si>
  <si>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</si>
  <si>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</si>
  <si>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</si>
  <si>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</si>
  <si>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</si>
  <si>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</si>
  <si>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</si>
  <si>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</si>
  <si>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</si>
  <si>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</si>
  <si>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</si>
  <si>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</si>
  <si>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</si>
  <si>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</si>
  <si>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</si>
  <si>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</si>
  <si>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</si>
  <si>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</si>
  <si>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</si>
  <si>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</si>
  <si>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</si>
  <si>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</si>
  <si>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</si>
  <si>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</si>
  <si>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</si>
  <si>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</si>
  <si>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</si>
  <si>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</si>
  <si>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</si>
  <si>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</si>
  <si>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</si>
  <si>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</si>
  <si>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</si>
  <si>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</si>
  <si>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</si>
  <si>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</si>
  <si>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</si>
  <si>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</si>
  <si>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</si>
  <si>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</si>
  <si>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</si>
  <si>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</si>
  <si>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</si>
  <si>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</si>
  <si>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</si>
  <si>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</si>
  <si>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</si>
  <si>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</si>
  <si>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</si>
  <si>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</si>
  <si>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</si>
  <si>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</si>
  <si>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</si>
  <si>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</si>
  <si>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</si>
  <si>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</si>
  <si>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</si>
  <si>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</si>
  <si>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</si>
  <si>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</si>
  <si>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</si>
  <si>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</si>
  <si>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</si>
  <si>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</si>
  <si>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</si>
  <si>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</si>
  <si>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</si>
  <si>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</si>
  <si>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</si>
  <si>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</si>
  <si>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</si>
  <si>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</si>
  <si>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</si>
  <si>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</si>
  <si>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</si>
  <si>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</si>
  <si>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</si>
  <si>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</si>
  <si>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</si>
  <si>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</si>
  <si>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</si>
  <si>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</si>
  <si>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</si>
  <si>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</si>
  <si>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</si>
  <si>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</si>
  <si>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</si>
  <si>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</si>
  <si>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</si>
  <si>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</si>
  <si>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</si>
  <si>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</si>
  <si>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</si>
  <si>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</si>
  <si>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</si>
  <si>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</si>
  <si>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</si>
  <si>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</si>
  <si>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</si>
  <si>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</si>
  <si>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</si>
  <si>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</si>
  <si>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</si>
  <si>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</si>
  <si>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</si>
  <si>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</si>
  <si>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</si>
  <si>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</si>
  <si>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</si>
  <si>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</si>
  <si>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</si>
  <si>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40</t>
  </si>
  <si>
    <t>FANGST T.O.M UKE 40</t>
  </si>
  <si>
    <t>RESTKVOTER UKE 40</t>
  </si>
  <si>
    <t>FANGST T.O.M UKE 40 2022</t>
  </si>
  <si>
    <r>
      <t xml:space="preserve">3 </t>
    </r>
    <r>
      <rPr>
        <sz val="9"/>
        <color indexed="8"/>
        <rFont val="Calibri"/>
        <family val="2"/>
      </rPr>
      <t>Registrert rekreasjonsfiske utgjør 707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</si>
  <si>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67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</si>
  <si>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6 948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</si>
  <si>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653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</si>
</sst>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>
      <selection activeCell="G7" sqref="G7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139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135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16.621500000000001</v>
      </c>
      <c r="G23" s="28">
        <f t="shared" si="0"/>
        <v>62561.42411</v>
      </c>
      <c r="H23" s="11">
        <f t="shared" si="0"/>
        <v>24265.575889999996</v>
      </c>
      <c r="I23" s="11">
        <f t="shared" si="0"/>
        <v>77639.986499999999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16.6215</f>
        <v>16.621500000000001</v>
      </c>
      <c r="G24" s="23">
        <f>62108.75476</f>
        <v>62108.754760000003</v>
      </c>
      <c r="H24" s="23">
        <f>E24-G24</f>
        <v>23936.245239999997</v>
      </c>
      <c r="I24" s="23">
        <f>77192.93255</f>
        <v>77192.932549999998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452.66935</f>
        <v>452.66935000000001</v>
      </c>
      <c r="H25" s="23">
        <f>E25-G25</f>
        <v>329.33064999999999</v>
      </c>
      <c r="I25" s="23">
        <f>447.05395</f>
        <v>447.05394999999999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479.32557000000003</v>
      </c>
      <c r="G26" s="11">
        <f t="shared" si="1"/>
        <v>177610.94501000002</v>
      </c>
      <c r="H26" s="11">
        <f t="shared" si="1"/>
        <v>19959.054990000001</v>
      </c>
      <c r="I26" s="11">
        <f t="shared" si="1"/>
        <v>214717.06325000001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428.40027000000003</v>
      </c>
      <c r="G27" s="134">
        <f t="shared" ref="G27:I27" si="2">G28+G29+G30+G31+G32</f>
        <v>140219.39859000003</v>
      </c>
      <c r="H27" s="134">
        <f t="shared" si="2"/>
        <v>12431.601409999999</v>
      </c>
      <c r="I27" s="134">
        <f t="shared" si="2"/>
        <v>173986.15270999999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37.4012</f>
        <v>37.401200000000003</v>
      </c>
      <c r="G28" s="129">
        <f>37329.07631 - F57</f>
        <v>35444.076309999997</v>
      </c>
      <c r="H28" s="129">
        <f t="shared" ref="H28:H40" si="3">E28-G28</f>
        <v>4104.9236900000033</v>
      </c>
      <c r="I28" s="129">
        <f>43453.53185 - H57</f>
        <v>41218.531849999999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183.93301</f>
        <v>183.93301</v>
      </c>
      <c r="G29" s="129">
        <f>39953.11809 - F58</f>
        <v>37479.118090000004</v>
      </c>
      <c r="H29" s="129">
        <f t="shared" si="3"/>
        <v>3284.8819099999964</v>
      </c>
      <c r="I29" s="129">
        <f>48317.72805 - H58</f>
        <v>46416.728049999998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38.07082</f>
        <v>38.070819999999998</v>
      </c>
      <c r="G30" s="129">
        <f>37513.90215 - F59</f>
        <v>36355.902150000002</v>
      </c>
      <c r="H30" s="129">
        <f t="shared" si="3"/>
        <v>911.09784999999829</v>
      </c>
      <c r="I30" s="129">
        <f>47900.58287 - H59</f>
        <v>46838.582869999998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11.99524</f>
        <v>11.995240000000001</v>
      </c>
      <c r="G31" s="129">
        <f>25189.30204 - F60</f>
        <v>24599.302039999999</v>
      </c>
      <c r="H31" s="129">
        <f t="shared" si="3"/>
        <v>807.69796000000133</v>
      </c>
      <c r="I31" s="129">
        <f>34166.30994 - H60</f>
        <v>33485.309939999999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157</v>
      </c>
      <c r="G32" s="129">
        <f>F55</f>
        <v>6341</v>
      </c>
      <c r="H32" s="129">
        <f t="shared" si="3"/>
        <v>3323</v>
      </c>
      <c r="I32" s="129">
        <f>H55</f>
        <v>6027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1.56896</f>
        <v>1.5689599999999999</v>
      </c>
      <c r="G33" s="134">
        <f>16419.41549</f>
        <v>16419.415489999999</v>
      </c>
      <c r="H33" s="134">
        <f t="shared" si="3"/>
        <v>7166.5845100000006</v>
      </c>
      <c r="I33" s="134">
        <f>19871.70855</f>
        <v>19871.708549999999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49.356340000000003</v>
      </c>
      <c r="G34" s="134">
        <f>G35+G36</f>
        <v>20972.130929999999</v>
      </c>
      <c r="H34" s="134">
        <f t="shared" si="3"/>
        <v>360.86907000000065</v>
      </c>
      <c r="I34" s="134">
        <f>I35+I36</f>
        <v>20859.201990000001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30.35634</f>
        <v>30.356339999999999</v>
      </c>
      <c r="G35" s="134">
        <f>24778.13093 - F61 - F62</f>
        <v>20382.130929999999</v>
      </c>
      <c r="H35" s="129">
        <f t="shared" si="3"/>
        <v>-249.13092999999935</v>
      </c>
      <c r="I35" s="129">
        <f>21861.20199 - H61 - H62</f>
        <v>20178.201990000001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19</v>
      </c>
      <c r="G36" s="73">
        <f>F60</f>
        <v>590</v>
      </c>
      <c r="H36" s="73">
        <f t="shared" si="3"/>
        <v>610</v>
      </c>
      <c r="I36" s="73">
        <f>H60</f>
        <v>681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746.7916</f>
        <v>746.79160000000002</v>
      </c>
      <c r="H37" s="141">
        <f t="shared" si="3"/>
        <v>2253.2084</v>
      </c>
      <c r="I37" s="141">
        <f>445.0706</f>
        <v>445.07060000000001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0.009</f>
        <v>8.9999999999999993E-3</v>
      </c>
      <c r="G38" s="100">
        <f>505.04922</f>
        <v>505.04921999999999</v>
      </c>
      <c r="H38" s="100">
        <f t="shared" si="3"/>
        <v>345.95078000000001</v>
      </c>
      <c r="I38" s="100">
        <f>470.94763</f>
        <v>470.94763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6</v>
      </c>
      <c r="G39" s="100">
        <f>F61</f>
        <v>4396</v>
      </c>
      <c r="H39" s="100">
        <f t="shared" si="3"/>
        <v>-1348</v>
      </c>
      <c r="I39" s="100">
        <f>H61</f>
        <v>1683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1.56974</f>
        <v>1.5697399999999999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>
        <f>0</f>
        <v>0</v>
      </c>
      <c r="G41" s="100">
        <f>355.69735</f>
        <v>355.69734999999997</v>
      </c>
      <c r="H41" s="100">
        <f>E41-G41</f>
        <v>-55.697349999999972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503.52881000000002</v>
      </c>
      <c r="G44" s="78">
        <f t="shared" si="4"/>
        <v>253255.46829000002</v>
      </c>
      <c r="H44" s="78">
        <f t="shared" si="4"/>
        <v>45440.531709999967</v>
      </c>
      <c r="I44" s="78">
        <f t="shared" si="4"/>
        <v>302077.00640999997</v>
      </c>
      <c r="J44" s="242"/>
    </row>
    <row r="45" spans="1:13" ht="14.1" customHeight="1" x14ac:dyDescent="0.25">
      <c r="A45" s="101"/>
      <c r="B45" s="24"/>
      <c r="C45" s="80" t="s">
        <v>127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146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126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142</v>
      </c>
      <c r="F54" s="68" t="s">
        <v>143</v>
      </c>
      <c r="G54" s="68" t="s">
        <v>144</v>
      </c>
      <c r="H54" s="68" t="s">
        <v>145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157</v>
      </c>
      <c r="F55" s="11">
        <f>F59+F58+F57+F56</f>
        <v>6341</v>
      </c>
      <c r="G55" s="291">
        <f>D55-F55</f>
        <v>3499</v>
      </c>
      <c r="H55" s="11">
        <f>H59+H58+H57+H56</f>
        <v>6027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>
        <v>27</v>
      </c>
      <c r="F56" s="129">
        <v>824</v>
      </c>
      <c r="G56" s="292"/>
      <c r="H56" s="129">
        <v>829</v>
      </c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>
        <v>79</v>
      </c>
      <c r="F57" s="129">
        <v>1885</v>
      </c>
      <c r="G57" s="292"/>
      <c r="H57" s="129">
        <v>2235</v>
      </c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>
        <v>40</v>
      </c>
      <c r="F58" s="129">
        <v>2474</v>
      </c>
      <c r="G58" s="292"/>
      <c r="H58" s="129">
        <v>1901</v>
      </c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>
        <v>11</v>
      </c>
      <c r="F59" s="194">
        <v>1158</v>
      </c>
      <c r="G59" s="293"/>
      <c r="H59" s="194">
        <v>1062</v>
      </c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19</v>
      </c>
      <c r="F60" s="97">
        <v>590</v>
      </c>
      <c r="G60" s="97">
        <f>D60-F60</f>
        <v>610</v>
      </c>
      <c r="H60" s="97">
        <v>681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6</v>
      </c>
      <c r="F61" s="141">
        <v>4396</v>
      </c>
      <c r="G61" s="141">
        <f>D61-F61</f>
        <v>-1396</v>
      </c>
      <c r="H61" s="141">
        <v>1683</v>
      </c>
      <c r="I61" s="256"/>
      <c r="J61" s="242"/>
    </row>
    <row r="62" spans="1:10" ht="14.1" customHeight="1" x14ac:dyDescent="0.25">
      <c r="A62" s="101"/>
      <c r="B62" s="24"/>
      <c r="C62" s="80" t="s">
        <v>123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119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136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142</v>
      </c>
      <c r="G91" s="15" t="s">
        <v>143</v>
      </c>
      <c r="H91" s="15" t="s">
        <v>144</v>
      </c>
      <c r="I91" s="15" t="s">
        <v>145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2.5914000000000001</v>
      </c>
      <c r="G92" s="11">
        <f t="shared" si="5"/>
        <v>39934.755400000002</v>
      </c>
      <c r="H92" s="11">
        <f t="shared" si="5"/>
        <v>-5135.7553999999991</v>
      </c>
      <c r="I92" s="11">
        <f t="shared" si="5"/>
        <v>36605.658889999999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2.5914</f>
        <v>2.5914000000000001</v>
      </c>
      <c r="G93" s="23">
        <f>39395.88441</f>
        <v>39395.884409999999</v>
      </c>
      <c r="H93" s="23">
        <f>E93-G93</f>
        <v>-5408.8844099999988</v>
      </c>
      <c r="I93" s="23">
        <f>35881.07902</f>
        <v>35881.079019999997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538.87099</f>
        <v>538.87099000000001</v>
      </c>
      <c r="H94" s="52">
        <f>E94-G94</f>
        <v>273.12900999999999</v>
      </c>
      <c r="I94" s="52">
        <f>724.57987</f>
        <v>724.57987000000003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291.79602</v>
      </c>
      <c r="G95" s="11">
        <f t="shared" si="6"/>
        <v>31239.923869999999</v>
      </c>
      <c r="H95" s="11">
        <f t="shared" si="6"/>
        <v>28260.076130000005</v>
      </c>
      <c r="I95" s="11">
        <f t="shared" si="6"/>
        <v>35886.988080000003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244.33493999999999</v>
      </c>
      <c r="G96" s="134">
        <f t="shared" si="7"/>
        <v>22004.35008</v>
      </c>
      <c r="H96" s="134">
        <f t="shared" si="7"/>
        <v>22486.649920000003</v>
      </c>
      <c r="I96" s="134">
        <f t="shared" si="7"/>
        <v>27726.987349999999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100.85568</f>
        <v>100.85568000000001</v>
      </c>
      <c r="G97" s="129">
        <f>3521.71779</f>
        <v>3521.7177900000002</v>
      </c>
      <c r="H97" s="129">
        <f t="shared" ref="H97:H104" si="8">E97-G97</f>
        <v>8361.9822100000001</v>
      </c>
      <c r="I97" s="129">
        <f>3243.69488</f>
        <v>3243.69488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73.99058</f>
        <v>73.990579999999994</v>
      </c>
      <c r="G98" s="129">
        <f>6712.31017</f>
        <v>6712.3101699999997</v>
      </c>
      <c r="H98" s="129">
        <f t="shared" si="8"/>
        <v>5952.7898300000006</v>
      </c>
      <c r="I98" s="129">
        <f>9271.45448</f>
        <v>9271.4544800000003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48.60115</f>
        <v>48.601149999999997</v>
      </c>
      <c r="G99" s="129">
        <f>6587.32916</f>
        <v>6587.3291600000002</v>
      </c>
      <c r="H99" s="129">
        <f t="shared" si="8"/>
        <v>5378.2708400000001</v>
      </c>
      <c r="I99" s="129">
        <f>7754.30397</f>
        <v>7754.3039699999999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20.88753</f>
        <v>20.887530000000002</v>
      </c>
      <c r="G100" s="129">
        <f>5182.99296</f>
        <v>5182.9929599999996</v>
      </c>
      <c r="H100" s="129">
        <f t="shared" si="8"/>
        <v>2793.6070400000008</v>
      </c>
      <c r="I100" s="129">
        <f>7457.53402</f>
        <v>7457.5340200000001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1.3647</f>
        <v>1.3647</v>
      </c>
      <c r="G101" s="134">
        <f>7555.0687</f>
        <v>7555.0686999999998</v>
      </c>
      <c r="H101" s="134">
        <f t="shared" si="8"/>
        <v>2835.9313000000002</v>
      </c>
      <c r="I101" s="134">
        <f>6627.9646</f>
        <v>6627.9646000000002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46.09638</f>
        <v>46.096380000000003</v>
      </c>
      <c r="G102" s="77">
        <f>1680.50509</f>
        <v>1680.5050900000001</v>
      </c>
      <c r="H102" s="77">
        <f t="shared" si="8"/>
        <v>2937.4949099999999</v>
      </c>
      <c r="I102" s="77">
        <f>1532.03613</f>
        <v>1532.03613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0.02166</f>
        <v>2.1659999999999999E-2</v>
      </c>
      <c r="G103" s="100">
        <f>11.36609</f>
        <v>11.36609</v>
      </c>
      <c r="H103" s="100">
        <f t="shared" si="8"/>
        <v>308.63391000000001</v>
      </c>
      <c r="I103" s="100">
        <f>22.00499</f>
        <v>22.004989999999999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0.52451</f>
        <v>0.52451000000000003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00">
        <f>0</f>
        <v>0</v>
      </c>
      <c r="G105" s="100">
        <f>8.9026</f>
        <v>8.9025999999999996</v>
      </c>
      <c r="H105" s="141">
        <f>E105-G105</f>
        <v>41.0974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294.93359000000004</v>
      </c>
      <c r="G107" s="78">
        <f t="shared" si="9"/>
        <v>71503.715759999977</v>
      </c>
      <c r="H107" s="78">
        <f t="shared" si="9"/>
        <v>23465.284240000019</v>
      </c>
      <c r="I107" s="78">
        <f t="shared" si="9"/>
        <v>72858.386740000002</v>
      </c>
      <c r="J107" s="242"/>
    </row>
    <row r="108" spans="1:10" ht="13.5" customHeight="1" x14ac:dyDescent="0.25">
      <c r="A108" s="1"/>
      <c r="B108" s="252"/>
      <c r="C108" s="80" t="s">
        <v>125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147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124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119</v>
      </c>
      <c r="D113" s="226"/>
      <c r="E113" s="226"/>
      <c r="F113" s="226"/>
      <c r="G113" s="226"/>
      <c r="H113" s="226"/>
      <c r="I113" s="101"/>
      <c r="J113" s="101" t="s">
        <v>119</v>
      </c>
    </row>
    <row r="114" spans="1:10" ht="14.25" customHeight="1" x14ac:dyDescent="0.2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2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142</v>
      </c>
      <c r="G127" s="15" t="s">
        <v>143</v>
      </c>
      <c r="H127" s="15" t="s">
        <v>144</v>
      </c>
      <c r="I127" s="15" t="s">
        <v>145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296.86519999999996</v>
      </c>
      <c r="G128" s="11">
        <f t="shared" si="11"/>
        <v>54547.072429999993</v>
      </c>
      <c r="H128" s="11">
        <f t="shared" si="11"/>
        <v>16159.927570000003</v>
      </c>
      <c r="I128" s="11">
        <f t="shared" si="11"/>
        <v>52060.872659999994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61835</v>
      </c>
      <c r="E129" s="48">
        <v>56225</v>
      </c>
      <c r="F129" s="23">
        <f>291.6432</f>
        <v>291.64319999999998</v>
      </c>
      <c r="G129" s="23">
        <f>47976.91458</f>
        <v>47976.914579999997</v>
      </c>
      <c r="H129" s="23">
        <f>E129-G129</f>
        <v>8248.0854200000031</v>
      </c>
      <c r="I129" s="23">
        <f>44271.45819</f>
        <v>44271.458189999998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14959</v>
      </c>
      <c r="E130" s="48">
        <v>13982</v>
      </c>
      <c r="F130" s="23">
        <f>0</f>
        <v>0</v>
      </c>
      <c r="G130" s="23">
        <f>6447.0778</f>
        <v>6447.0778</v>
      </c>
      <c r="H130" s="23">
        <f>E130-G130</f>
        <v>7534.9222</v>
      </c>
      <c r="I130" s="23">
        <f>7789.41447</f>
        <v>7789.4144699999997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23">
        <f>5.222</f>
        <v>5.2220000000000004</v>
      </c>
      <c r="G131" s="23">
        <f>123.08005</f>
        <v>123.08005</v>
      </c>
      <c r="H131" s="58">
        <f>E131-G131</f>
        <v>376.91994999999997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52226</v>
      </c>
      <c r="E132" s="93">
        <v>49285</v>
      </c>
      <c r="F132" s="97">
        <f>46.222</f>
        <v>46.222000000000001</v>
      </c>
      <c r="G132" s="97">
        <f>38716.74918 + 6947.64555</f>
        <v>45664.39473</v>
      </c>
      <c r="H132" s="97">
        <f>E132-G132</f>
        <v>3620.60527</v>
      </c>
      <c r="I132" s="97">
        <f>40376.49648</f>
        <v>40376.496480000002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919.88621000000012</v>
      </c>
      <c r="G133" s="96">
        <f t="shared" ref="G133" si="12">G134+G139+G142</f>
        <v>60701.799510000004</v>
      </c>
      <c r="H133" s="96">
        <f>H134+H139+H142</f>
        <v>20410.200489999999</v>
      </c>
      <c r="I133" s="96">
        <f>I134+I139+I142</f>
        <v>62829.622129999989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793.44640000000004</v>
      </c>
      <c r="G134" s="127">
        <f>G135+G136+G138+G137</f>
        <v>46819.31119</v>
      </c>
      <c r="H134" s="127">
        <f>H135+H136+H137+H138</f>
        <v>12813.68881</v>
      </c>
      <c r="I134" s="127">
        <f>I135+I136+I137+I138</f>
        <v>49449.249719999993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16203</v>
      </c>
      <c r="E135" s="65">
        <v>17538</v>
      </c>
      <c r="F135" s="129">
        <f>264.77934</f>
        <v>264.77933999999999</v>
      </c>
      <c r="G135" s="129">
        <v>8703.8038500000002</v>
      </c>
      <c r="H135" s="129">
        <f>E135-G135</f>
        <v>8834.1961499999998</v>
      </c>
      <c r="I135" s="129">
        <f>8258.837</f>
        <v>8258.8369999999995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16593</v>
      </c>
      <c r="E136" s="65">
        <v>15118</v>
      </c>
      <c r="F136" s="129">
        <f>245.41734</f>
        <v>245.41734</v>
      </c>
      <c r="G136" s="129">
        <v>13950.02432</v>
      </c>
      <c r="H136" s="129">
        <f>E136-G136</f>
        <v>1167.9756799999996</v>
      </c>
      <c r="I136" s="129">
        <f>11212.09075</f>
        <v>11212.090749999999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15164</v>
      </c>
      <c r="E137" s="65">
        <v>15056</v>
      </c>
      <c r="F137" s="129">
        <f>141.22018</f>
        <v>141.22018</v>
      </c>
      <c r="G137" s="129">
        <v>13312.92894</v>
      </c>
      <c r="H137" s="129">
        <f>E137-G137</f>
        <v>1743.0710600000002</v>
      </c>
      <c r="I137" s="129">
        <f>16058.41773</f>
        <v>16058.417729999999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13085</v>
      </c>
      <c r="E138" s="65">
        <v>11921</v>
      </c>
      <c r="F138" s="129">
        <f>142.02954</f>
        <v>142.02954</v>
      </c>
      <c r="G138" s="129">
        <v>10852.55408</v>
      </c>
      <c r="H138" s="129">
        <f>E138-G138</f>
        <v>1068.4459200000001</v>
      </c>
      <c r="I138" s="129">
        <f>13919.90424</f>
        <v>13919.90424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4.8380999999999998</v>
      </c>
      <c r="G139" s="134">
        <f>SUM(G140:G141)</f>
        <v>7083.2686599999997</v>
      </c>
      <c r="H139" s="134">
        <f>H140+H141</f>
        <v>2367.7313399999998</v>
      </c>
      <c r="I139" s="134">
        <f>SUM(I140:I141)</f>
        <v>6441.3260800000007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8232</v>
      </c>
      <c r="E140" s="65">
        <v>8951</v>
      </c>
      <c r="F140" s="129">
        <f>2.4057</f>
        <v>2.4056999999999999</v>
      </c>
      <c r="G140" s="129">
        <f>6823.43915</f>
        <v>6823.4391500000002</v>
      </c>
      <c r="H140" s="129">
        <f t="shared" ref="H140:H147" si="13">E140-G140</f>
        <v>2127.5608499999998</v>
      </c>
      <c r="I140" s="129">
        <f>6164.96013</f>
        <v>6164.9601300000004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2.4324</f>
        <v>2.4323999999999999</v>
      </c>
      <c r="G141" s="129">
        <f>259.82951</f>
        <v>259.82951000000003</v>
      </c>
      <c r="H141" s="129">
        <f t="shared" si="13"/>
        <v>240.17048999999997</v>
      </c>
      <c r="I141" s="129">
        <f>276.36595</f>
        <v>276.36595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11114</v>
      </c>
      <c r="E142" s="63">
        <v>12028</v>
      </c>
      <c r="F142" s="77">
        <f>121.60171</f>
        <v>121.60171</v>
      </c>
      <c r="G142" s="77">
        <f>6799.21966</f>
        <v>6799.2196599999997</v>
      </c>
      <c r="H142" s="77">
        <f t="shared" si="13"/>
        <v>5228.7803400000003</v>
      </c>
      <c r="I142" s="77">
        <f>6939.04633</f>
        <v>6939.0463300000001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0.22815</f>
        <v>0.22814999999999999</v>
      </c>
      <c r="G143" s="141">
        <f>31.69565</f>
        <v>31.695650000000001</v>
      </c>
      <c r="H143" s="141">
        <f t="shared" si="13"/>
        <v>105.30435</v>
      </c>
      <c r="I143" s="141">
        <f>24.47327</f>
        <v>24.473269999999999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3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6.47811</f>
        <v>6.47811</v>
      </c>
      <c r="G145" s="141">
        <v>2000</v>
      </c>
      <c r="H145" s="141">
        <f t="shared" si="13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3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00">
        <f>0</f>
        <v>0</v>
      </c>
      <c r="G147" s="100">
        <f>27.67143</f>
        <v>27.671430000000001</v>
      </c>
      <c r="H147" s="141">
        <f t="shared" si="13"/>
        <v>167.32857000000001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>
        <f>4.925</f>
        <v>4.9249999999999998</v>
      </c>
      <c r="G148" s="141">
        <f>111.04893</f>
        <v>111.04893</v>
      </c>
      <c r="H148" s="141"/>
      <c r="I148" s="141">
        <f>58.0548</f>
        <v>58.0548</v>
      </c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4">D128+D132+D133+D143+D144+D145+D146+D147+D148</f>
        <v>212994</v>
      </c>
      <c r="E150" s="78">
        <f t="shared" si="14"/>
        <v>203686</v>
      </c>
      <c r="F150" s="78">
        <f>F128+F132+F133+F143+F144+F145+F146+F147+F148</f>
        <v>1274.6046699999999</v>
      </c>
      <c r="G150" s="78">
        <f>G128+G132+G133+G143+G144+G145+G146+G147+G148</f>
        <v>163346.26368</v>
      </c>
      <c r="H150" s="78">
        <f>H128+H132+H133+H143+H144+H145+H146+H147+H148</f>
        <v>40450.785250000001</v>
      </c>
      <c r="I150" s="78">
        <f>I128+I132+I133+I143+I144+I145+I146+I147+I148</f>
        <v>157656.49533999999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129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148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149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130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119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119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119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142</v>
      </c>
      <c r="F174" s="15" t="s">
        <v>143</v>
      </c>
      <c r="G174" s="56" t="s">
        <v>144</v>
      </c>
      <c r="H174" s="15" t="s">
        <v>145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0</f>
        <v>0</v>
      </c>
      <c r="F175" s="274">
        <f>1535.74858</f>
        <v>1535.7485799999999</v>
      </c>
      <c r="G175" s="45">
        <f>D175-F175-F176</f>
        <v>1716.10328</v>
      </c>
      <c r="H175" s="274">
        <f>1329.13498</f>
        <v>1329.13498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1736.14814</f>
        <v>1736.14814</v>
      </c>
      <c r="G176" s="215"/>
      <c r="H176" s="154">
        <f>1562.00769</f>
        <v>1562.0076899999999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74.78746</f>
        <v>74.787459999999996</v>
      </c>
      <c r="G177" s="174">
        <f>D177-F177</f>
        <v>125.21254</v>
      </c>
      <c r="H177" s="174">
        <f>50.73594</f>
        <v>50.735939999999999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27.92906</v>
      </c>
      <c r="F178" s="183">
        <f>F179+F180+F181</f>
        <v>8062.7731700000004</v>
      </c>
      <c r="G178" s="183">
        <f>D178-F178</f>
        <v>-581.77317000000039</v>
      </c>
      <c r="H178" s="183">
        <f>H179+H180+H181</f>
        <v>7690.4363400000002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4.38184</f>
        <v>4.3818400000000004</v>
      </c>
      <c r="F179" s="129">
        <f>4167.15463</f>
        <v>4167.15463</v>
      </c>
      <c r="G179" s="129"/>
      <c r="H179" s="129">
        <f>3966.79382</f>
        <v>3966.7938199999999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15.34959</f>
        <v>15.349589999999999</v>
      </c>
      <c r="F180" s="129">
        <f>2483.01926</f>
        <v>2483.01926</v>
      </c>
      <c r="G180" s="129"/>
      <c r="H180" s="129">
        <f>2396.91802</f>
        <v>2396.9180200000001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8.19763</f>
        <v>8.1976300000000002</v>
      </c>
      <c r="F181" s="194">
        <f>1412.59928</f>
        <v>1412.5992799999999</v>
      </c>
      <c r="G181" s="194"/>
      <c r="H181" s="194">
        <f>1326.7245</f>
        <v>1326.7245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27.92906</v>
      </c>
      <c r="F184" s="196">
        <f>F175+F176+F177+F178+F182+F183</f>
        <v>11409.457350000001</v>
      </c>
      <c r="G184" s="196">
        <f>D184-F184</f>
        <v>1325.5426499999994</v>
      </c>
      <c r="H184" s="196">
        <f>H175+H176+H177+H178+H182+H183</f>
        <v>10632.31495</v>
      </c>
      <c r="I184" s="165"/>
      <c r="J184" s="162"/>
    </row>
    <row r="185" spans="1:10" ht="42" customHeight="1" x14ac:dyDescent="0.25">
      <c r="A185" s="1"/>
      <c r="B185" s="200"/>
      <c r="C185" s="225" t="s">
        <v>131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119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119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119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132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133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134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142</v>
      </c>
      <c r="F203" s="68" t="s">
        <v>143</v>
      </c>
      <c r="G203" s="68" t="s">
        <v>144</v>
      </c>
      <c r="H203" s="68" t="s">
        <v>145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0.281</f>
        <v>0.28100000000000003</v>
      </c>
      <c r="F204" s="124">
        <f>40764.779</f>
        <v>40764.779000000002</v>
      </c>
      <c r="G204" s="124">
        <f>D204-F204</f>
        <v>3074.2209999999977</v>
      </c>
      <c r="H204" s="124">
        <f>36287.12538</f>
        <v>36287.125379999998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0.6575</f>
        <v>0.65749999999999997</v>
      </c>
      <c r="F205" s="124">
        <f>65.60423</f>
        <v>65.604230000000001</v>
      </c>
      <c r="G205" s="124">
        <f>D205-F205</f>
        <v>34.395769999999999</v>
      </c>
      <c r="H205" s="124">
        <f>58.20481</f>
        <v>58.204810000000002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0.9385</v>
      </c>
      <c r="F207" s="190">
        <f>SUM(F204:F206)</f>
        <v>40830.383229999999</v>
      </c>
      <c r="G207" s="190">
        <f>D207-F207</f>
        <v>3150.6167700000005</v>
      </c>
      <c r="H207" s="190">
        <f>SUM(H204:H206)</f>
        <v>36345.330190000001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137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119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142</v>
      </c>
      <c r="F248" s="68" t="s">
        <v>143</v>
      </c>
      <c r="G248" s="68" t="s">
        <v>144</v>
      </c>
      <c r="H248" s="68" t="s">
        <v>145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17.2276</f>
        <v>17.227599999999999</v>
      </c>
      <c r="F249" s="77">
        <f>3628.05854</f>
        <v>3628.05854</v>
      </c>
      <c r="G249" s="77"/>
      <c r="H249" s="77">
        <f>2638.98328</f>
        <v>2638.9832799999999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50.63884</f>
        <v>50.638840000000002</v>
      </c>
      <c r="F250" s="77">
        <f>5116.77222</f>
        <v>5116.7722199999998</v>
      </c>
      <c r="G250" s="77"/>
      <c r="H250" s="77">
        <f>4704.75621</f>
        <v>4704.7562099999996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2.61768</f>
        <v>2.61768</v>
      </c>
      <c r="F251" s="124">
        <f>598.67134</f>
        <v>598.67133999999999</v>
      </c>
      <c r="G251" s="168"/>
      <c r="H251" s="124">
        <f>587.40988</f>
        <v>587.40988000000004</v>
      </c>
      <c r="I251" s="246"/>
      <c r="J251" s="122"/>
    </row>
    <row r="252" spans="1:10" ht="16.5" customHeight="1" x14ac:dyDescent="0.25">
      <c r="A252" s="1"/>
      <c r="B252" s="252"/>
      <c r="C252" s="179" t="s">
        <v>88</v>
      </c>
      <c r="D252" s="190">
        <v>10454</v>
      </c>
      <c r="E252" s="190">
        <f>SUM(E249:E251)</f>
        <v>70.48411999999999</v>
      </c>
      <c r="F252" s="190">
        <f>SUM(F249:F251)</f>
        <v>9343.5021000000015</v>
      </c>
      <c r="G252" s="190">
        <f>D252-F252</f>
        <v>1110.4978999999985</v>
      </c>
      <c r="H252" s="190">
        <f>SUM(H249:H251)</f>
        <v>7931.1493700000001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138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119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142</v>
      </c>
      <c r="F293" s="68" t="s">
        <v>143</v>
      </c>
      <c r="G293" s="68" t="s">
        <v>144</v>
      </c>
      <c r="H293" s="68" t="s">
        <v>145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23.6246</f>
        <v>23.624600000000001</v>
      </c>
      <c r="F294" s="77">
        <f>5542.00621</f>
        <v>5542.0062099999996</v>
      </c>
      <c r="G294" s="77"/>
      <c r="H294" s="77">
        <f>3732.46631</f>
        <v>3732.4663099999998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43.77126</f>
        <v>43.771259999999998</v>
      </c>
      <c r="F295" s="77">
        <f>3276.47146</f>
        <v>3276.4714600000002</v>
      </c>
      <c r="G295" s="77"/>
      <c r="H295" s="77">
        <f>2965.40232</f>
        <v>2965.4023200000001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0.80284</f>
        <v>0.80284</v>
      </c>
      <c r="F296" s="124">
        <f>494.70483</f>
        <v>494.70483000000002</v>
      </c>
      <c r="G296" s="168"/>
      <c r="H296" s="124">
        <f>526.01215</f>
        <v>526.01215000000002</v>
      </c>
      <c r="I296" s="246"/>
      <c r="J296" s="122"/>
    </row>
    <row r="297" spans="1:10" ht="16.5" customHeight="1" x14ac:dyDescent="0.25">
      <c r="A297" s="1"/>
      <c r="B297" s="252"/>
      <c r="C297" s="179" t="s">
        <v>88</v>
      </c>
      <c r="D297" s="190">
        <v>8076</v>
      </c>
      <c r="E297" s="190">
        <f>SUM(E294:E296)</f>
        <v>68.198700000000002</v>
      </c>
      <c r="F297" s="190">
        <f>SUM(F294:F296)</f>
        <v>9313.1825000000008</v>
      </c>
      <c r="G297" s="190">
        <f>D297-F297</f>
        <v>-1237.1825000000008</v>
      </c>
      <c r="H297" s="190">
        <f>SUM(H294:H296)</f>
        <v>7223.8807799999995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00000000000001" customHeight="1" x14ac:dyDescent="0.2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90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119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85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91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92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75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93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94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95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142</v>
      </c>
      <c r="F347" s="68" t="s">
        <v>143</v>
      </c>
      <c r="G347" s="68" t="s">
        <v>144</v>
      </c>
      <c r="H347" s="68" t="s">
        <v>145</v>
      </c>
      <c r="I347" s="1"/>
      <c r="J347" s="118"/>
    </row>
    <row r="348" spans="1:10" ht="14.1" customHeight="1" x14ac:dyDescent="0.25">
      <c r="A348" s="70"/>
      <c r="B348" s="81"/>
      <c r="C348" s="90" t="s">
        <v>96</v>
      </c>
      <c r="D348" s="124">
        <v>800</v>
      </c>
      <c r="E348" s="124">
        <f>12.5911</f>
        <v>12.591100000000001</v>
      </c>
      <c r="F348" s="124">
        <f>538.64476</f>
        <v>538.64476000000002</v>
      </c>
      <c r="G348" s="124">
        <f>D348-F348</f>
        <v>261.35523999999998</v>
      </c>
      <c r="H348" s="124">
        <f>341.54821</f>
        <v>341.54820999999998</v>
      </c>
      <c r="I348" s="70"/>
      <c r="J348" s="242"/>
    </row>
    <row r="349" spans="1:10" ht="14.1" customHeight="1" x14ac:dyDescent="0.25">
      <c r="A349" s="1"/>
      <c r="B349" s="252"/>
      <c r="C349" s="90" t="s">
        <v>97</v>
      </c>
      <c r="D349" s="244">
        <v>2494</v>
      </c>
      <c r="E349" s="124">
        <f>13.82797</f>
        <v>13.827970000000001</v>
      </c>
      <c r="F349" s="124">
        <f>2541.21563</f>
        <v>2541.2156300000001</v>
      </c>
      <c r="G349" s="124">
        <f>D349-F349</f>
        <v>-47.215630000000147</v>
      </c>
      <c r="H349" s="124">
        <f>1619.28985</f>
        <v>1619.2898499999999</v>
      </c>
      <c r="I349" s="181"/>
      <c r="J349" s="118"/>
    </row>
    <row r="350" spans="1:10" ht="16.5" customHeight="1" x14ac:dyDescent="0.25">
      <c r="A350" s="70"/>
      <c r="B350" s="81"/>
      <c r="C350" s="146" t="s">
        <v>82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0.9702</f>
        <v>0.97019999999999995</v>
      </c>
      <c r="I350" s="70"/>
      <c r="J350" s="247"/>
    </row>
    <row r="351" spans="1:10" ht="18.75" customHeight="1" x14ac:dyDescent="0.25">
      <c r="A351" s="70"/>
      <c r="B351" s="248"/>
      <c r="C351" s="146" t="s">
        <v>98</v>
      </c>
      <c r="D351" s="220"/>
      <c r="E351" s="168">
        <f>0.00094</f>
        <v>9.3999999999999997E-4</v>
      </c>
      <c r="F351" s="168">
        <f>1.70854</f>
        <v>1.7085399999999999</v>
      </c>
      <c r="G351" s="124"/>
      <c r="H351" s="168">
        <f>6.84606</f>
        <v>6.8460599999999996</v>
      </c>
      <c r="I351" s="282"/>
      <c r="J351" s="122"/>
    </row>
    <row r="352" spans="1:10" ht="14.1" customHeight="1" x14ac:dyDescent="0.25">
      <c r="A352" s="1"/>
      <c r="B352" s="252"/>
      <c r="C352" s="179" t="s">
        <v>88</v>
      </c>
      <c r="D352" s="6">
        <f>D337</f>
        <v>3299</v>
      </c>
      <c r="E352" s="190">
        <f>SUM(E348:E351)</f>
        <v>26.420010000000001</v>
      </c>
      <c r="F352" s="190">
        <f>SUM(F348:F351)</f>
        <v>3084.3076700000001</v>
      </c>
      <c r="G352" s="190">
        <f>D352-F352</f>
        <v>214.69232999999986</v>
      </c>
      <c r="H352" s="190">
        <f>H348+H349+H350+H351</f>
        <v>1968.6543199999999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119</v>
      </c>
    </row>
    <row r="356" spans="1:10" ht="14.1" customHeight="1" x14ac:dyDescent="0.25">
      <c r="A356" s="1" t="s">
        <v>119</v>
      </c>
    </row>
    <row r="357" spans="1:10" ht="14.1" customHeight="1" x14ac:dyDescent="0.25">
      <c r="A357" s="1" t="s">
        <v>119</v>
      </c>
    </row>
    <row r="358" spans="1:10" ht="14.1" customHeight="1" x14ac:dyDescent="0.25">
      <c r="A358" s="1"/>
      <c r="C358" s="152" t="s">
        <v>119</v>
      </c>
    </row>
    <row r="359" spans="1:10" ht="36" customHeight="1" x14ac:dyDescent="0.25">
      <c r="A359" s="1"/>
      <c r="C359" s="152" t="s">
        <v>119</v>
      </c>
    </row>
    <row r="360" spans="1:10" ht="14.1" customHeight="1" x14ac:dyDescent="0.25">
      <c r="A360" s="1"/>
      <c r="C360" s="152" t="s">
        <v>119</v>
      </c>
    </row>
    <row r="361" spans="1:10" ht="14.1" customHeight="1" x14ac:dyDescent="0.25">
      <c r="A361" s="1"/>
      <c r="C361" s="152" t="s">
        <v>119</v>
      </c>
    </row>
    <row r="362" spans="1:10" ht="30" customHeight="1" x14ac:dyDescent="0.35">
      <c r="A362" s="216"/>
      <c r="B362" s="1"/>
      <c r="C362" s="213" t="s">
        <v>99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100</v>
      </c>
      <c r="F365" s="187"/>
      <c r="G365" s="151" t="s">
        <v>101</v>
      </c>
      <c r="H365" s="187"/>
      <c r="I365" s="152"/>
      <c r="J365" s="132"/>
    </row>
    <row r="366" spans="1:10" ht="14.25" customHeight="1" x14ac:dyDescent="0.25">
      <c r="B366" s="74"/>
      <c r="C366" s="257" t="s">
        <v>85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92</v>
      </c>
      <c r="D367" s="46">
        <v>19433</v>
      </c>
      <c r="E367" s="181" t="s">
        <v>97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91</v>
      </c>
      <c r="D368" s="46">
        <v>6186</v>
      </c>
      <c r="E368" s="181" t="s">
        <v>60</v>
      </c>
      <c r="F368" s="49">
        <v>5500</v>
      </c>
      <c r="G368" s="246" t="s">
        <v>102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103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120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105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106</v>
      </c>
      <c r="F377" s="221" t="s">
        <v>142</v>
      </c>
      <c r="G377" s="221" t="s">
        <v>143</v>
      </c>
      <c r="H377" s="221" t="s">
        <v>144</v>
      </c>
      <c r="I377" s="221" t="s">
        <v>145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5">D382+D381+D380+D379</f>
        <v>13765</v>
      </c>
      <c r="E378" s="249">
        <f t="shared" si="15"/>
        <v>16102</v>
      </c>
      <c r="F378" s="251">
        <f t="shared" si="15"/>
        <v>499.56497000000002</v>
      </c>
      <c r="G378" s="251">
        <f t="shared" si="15"/>
        <v>16086.784319999999</v>
      </c>
      <c r="H378" s="251">
        <f>H382+H381+H380+H379</f>
        <v>15.215679999999793</v>
      </c>
      <c r="I378" s="251">
        <f t="shared" si="15"/>
        <v>8537.7936599999994</v>
      </c>
      <c r="J378" s="132"/>
    </row>
    <row r="379" spans="1:10" ht="14.1" customHeight="1" x14ac:dyDescent="0.25">
      <c r="A379" s="216"/>
      <c r="B379" s="74"/>
      <c r="C379" s="253" t="s">
        <v>107</v>
      </c>
      <c r="D379" s="254">
        <v>6472</v>
      </c>
      <c r="E379" s="254">
        <v>8177</v>
      </c>
      <c r="F379" s="255">
        <f>361.93905</f>
        <v>361.93905000000001</v>
      </c>
      <c r="G379" s="255">
        <f>9841.5596</f>
        <v>9841.5596000000005</v>
      </c>
      <c r="H379" s="255">
        <f t="shared" ref="H379:H383" si="16">E379-G379</f>
        <v>-1664.5596000000005</v>
      </c>
      <c r="I379" s="255">
        <f>5619.85952</f>
        <v>5619.85952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0</f>
        <v>0</v>
      </c>
      <c r="G380" s="255">
        <f>1464.0345</f>
        <v>1464.0345</v>
      </c>
      <c r="H380" s="255">
        <f t="shared" si="16"/>
        <v>663.96550000000002</v>
      </c>
      <c r="I380" s="255">
        <f>564.91155</f>
        <v>564.91155000000003</v>
      </c>
      <c r="J380" s="132"/>
    </row>
    <row r="381" spans="1:10" ht="14.1" customHeight="1" x14ac:dyDescent="0.25">
      <c r="A381" s="216"/>
      <c r="B381" s="74"/>
      <c r="C381" s="258" t="s">
        <v>103</v>
      </c>
      <c r="D381" s="254">
        <v>1313</v>
      </c>
      <c r="E381" s="254">
        <v>1357</v>
      </c>
      <c r="F381" s="255">
        <f>46.98032</f>
        <v>46.980319999999999</v>
      </c>
      <c r="G381" s="255">
        <f>1825.43672</f>
        <v>1825.4367199999999</v>
      </c>
      <c r="H381" s="255">
        <f t="shared" si="16"/>
        <v>-468.43671999999992</v>
      </c>
      <c r="I381" s="255">
        <f>1521.24679</f>
        <v>1521.2467899999999</v>
      </c>
      <c r="J381" s="132"/>
    </row>
    <row r="382" spans="1:10" ht="14.1" customHeight="1" x14ac:dyDescent="0.25">
      <c r="A382" s="216"/>
      <c r="B382" s="74"/>
      <c r="C382" s="260" t="s">
        <v>108</v>
      </c>
      <c r="D382" s="261">
        <v>4296</v>
      </c>
      <c r="E382" s="261">
        <v>4440</v>
      </c>
      <c r="F382" s="255">
        <f>90.6456</f>
        <v>90.645600000000002</v>
      </c>
      <c r="G382" s="255">
        <f>2955.7535</f>
        <v>2955.7534999999998</v>
      </c>
      <c r="H382" s="255">
        <f t="shared" si="16"/>
        <v>1484.2465000000002</v>
      </c>
      <c r="I382" s="255">
        <f>831.7758</f>
        <v>831.7758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0.738</f>
        <v>0.73799999999999999</v>
      </c>
      <c r="G383" s="266">
        <f>5110.62328</f>
        <v>5110.6232799999998</v>
      </c>
      <c r="H383" s="266">
        <f t="shared" si="16"/>
        <v>389.3767200000002</v>
      </c>
      <c r="I383" s="266">
        <f>4548.43368</f>
        <v>4548.4336800000001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52.099000000000004</v>
      </c>
      <c r="G384" s="267">
        <f>G386+G385</f>
        <v>3816.5755300000001</v>
      </c>
      <c r="H384" s="267">
        <f>E384-G384</f>
        <v>4183.4244699999999</v>
      </c>
      <c r="I384" s="267">
        <f>I386+I385</f>
        <v>4195.4881500000001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6.7986</f>
        <v>6.7986000000000004</v>
      </c>
      <c r="G385" s="255">
        <f>869.9003</f>
        <v>869.90030000000002</v>
      </c>
      <c r="H385" s="255"/>
      <c r="I385" s="255">
        <f>1149.49055</f>
        <v>1149.49055</v>
      </c>
      <c r="J385" s="132"/>
    </row>
    <row r="386" spans="1:10" ht="14.1" customHeight="1" x14ac:dyDescent="0.25">
      <c r="A386" s="216"/>
      <c r="B386" s="74"/>
      <c r="C386" s="271" t="s">
        <v>109</v>
      </c>
      <c r="D386" s="272"/>
      <c r="E386" s="275"/>
      <c r="F386" s="276">
        <f>45.3004</f>
        <v>45.300400000000003</v>
      </c>
      <c r="G386" s="276">
        <f>2946.67523</f>
        <v>2946.6752299999998</v>
      </c>
      <c r="H386" s="276"/>
      <c r="I386" s="276">
        <f>3045.9976</f>
        <v>3045.9976000000001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0.675</f>
        <v>0.67500000000000004</v>
      </c>
      <c r="G387" s="266">
        <f>0.7485</f>
        <v>0.74850000000000005</v>
      </c>
      <c r="H387" s="266">
        <f>E387-G387</f>
        <v>9.2515000000000001</v>
      </c>
      <c r="I387" s="266">
        <f>0.4293</f>
        <v>0.42930000000000001</v>
      </c>
      <c r="J387" s="132"/>
    </row>
    <row r="388" spans="1:10" ht="14.1" customHeight="1" x14ac:dyDescent="0.25">
      <c r="A388" s="216"/>
      <c r="B388" s="74"/>
      <c r="C388" s="277" t="s">
        <v>110</v>
      </c>
      <c r="D388" s="280"/>
      <c r="E388" s="281"/>
      <c r="F388" s="266">
        <f>0.13536</f>
        <v>0.13536000000000001</v>
      </c>
      <c r="G388" s="266">
        <f>116.71838</f>
        <v>116.71838</v>
      </c>
      <c r="H388" s="266">
        <f>E388-G388</f>
        <v>-116.71838</v>
      </c>
      <c r="I388" s="266">
        <f>233.1096</f>
        <v>233.1096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7">F378+F383+F384+F387+F388</f>
        <v>553.21232999999995</v>
      </c>
      <c r="G389" s="285">
        <f t="shared" si="17"/>
        <v>25131.45001</v>
      </c>
      <c r="H389" s="285">
        <f>H378+H383+H384+H387+H388</f>
        <v>4480.5499899999995</v>
      </c>
      <c r="I389" s="285">
        <f t="shared" si="17"/>
        <v>17515.254389999998</v>
      </c>
      <c r="J389" s="132"/>
    </row>
    <row r="390" spans="1:10" ht="14.1" customHeight="1" x14ac:dyDescent="0.25">
      <c r="A390" s="216"/>
      <c r="B390" s="74"/>
      <c r="C390" s="163" t="s">
        <v>111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121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122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25">
      <c r="A394" s="216"/>
      <c r="B394" s="152" t="s">
        <v>119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119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119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112</v>
      </c>
      <c r="D398" s="159"/>
      <c r="E398" s="152"/>
      <c r="G398" s="152"/>
      <c r="H398" s="152"/>
      <c r="I398" s="152"/>
      <c r="J398" s="132"/>
    </row>
    <row r="399" spans="1:10" ht="14.1" customHeight="1" x14ac:dyDescent="0.2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x14ac:dyDescent="0.25">
      <c r="A400" s="216"/>
      <c r="B400" s="74"/>
      <c r="C400" s="151" t="s">
        <v>113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92</v>
      </c>
      <c r="D402" s="46"/>
      <c r="E402" s="152"/>
      <c r="G402" s="152"/>
      <c r="H402" s="152"/>
      <c r="I402" s="152"/>
      <c r="J402" s="132"/>
    </row>
    <row r="403" spans="1:10" ht="14.1" customHeight="1" x14ac:dyDescent="0.25">
      <c r="A403" s="216"/>
      <c r="B403" s="74"/>
      <c r="C403" s="246" t="s">
        <v>75</v>
      </c>
      <c r="D403" s="46"/>
      <c r="E403" s="152"/>
      <c r="F403" s="152"/>
      <c r="G403" s="152"/>
      <c r="H403" s="152"/>
      <c r="I403" s="152"/>
      <c r="J403" s="132"/>
    </row>
    <row r="404" spans="1:10" ht="14.1" customHeight="1" x14ac:dyDescent="0.2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x14ac:dyDescent="0.2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2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114</v>
      </c>
      <c r="D410" s="22" t="s">
        <v>115</v>
      </c>
      <c r="E410" s="20" t="s">
        <v>142</v>
      </c>
      <c r="F410" s="20" t="s">
        <v>143</v>
      </c>
      <c r="G410" s="25" t="s">
        <v>144</v>
      </c>
      <c r="H410" s="20" t="s">
        <v>145</v>
      </c>
      <c r="I410" s="222"/>
      <c r="J410" s="13"/>
    </row>
    <row r="411" spans="1:10" ht="14.1" customHeight="1" x14ac:dyDescent="0.25">
      <c r="A411" s="216"/>
      <c r="B411" s="74"/>
      <c r="C411" s="263" t="s">
        <v>116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117</v>
      </c>
      <c r="D414" s="10"/>
      <c r="E414" s="26">
        <f>SUM(E415:E416)</f>
        <v>0</v>
      </c>
      <c r="F414" s="26">
        <f>SUM(F415:F416)</f>
        <v>1463.1168499999999</v>
      </c>
      <c r="G414" s="87"/>
      <c r="H414" s="26">
        <f>SUM(H415:H416)</f>
        <v>1811.0628700000002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0</f>
        <v>0</v>
      </c>
      <c r="F415" s="30">
        <f>1123.27877</f>
        <v>1123.2787699999999</v>
      </c>
      <c r="G415" s="99"/>
      <c r="H415" s="30">
        <f>1413.4299</f>
        <v>1413.4299000000001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0</f>
        <v>0</v>
      </c>
      <c r="F416" s="30">
        <f>339.83808</f>
        <v>339.83807999999999</v>
      </c>
      <c r="G416" s="110"/>
      <c r="H416" s="30">
        <f>397.63297</f>
        <v>397.63297</v>
      </c>
      <c r="I416" s="152"/>
      <c r="J416" s="132"/>
    </row>
    <row r="417" spans="1:10" ht="14.1" customHeight="1" x14ac:dyDescent="0.25">
      <c r="A417" s="216"/>
      <c r="B417" s="74"/>
      <c r="C417" s="263" t="s">
        <v>118</v>
      </c>
      <c r="D417" s="10"/>
      <c r="E417" s="36">
        <f>SUM(E418:E419)</f>
        <v>38.630000000000003</v>
      </c>
      <c r="F417" s="36">
        <f>SUM(F418:F419)</f>
        <v>207.49391</v>
      </c>
      <c r="G417" s="87"/>
      <c r="H417" s="36">
        <f>SUM(H418:H419)</f>
        <v>480.53821999999997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28.169</f>
        <v>28.169</v>
      </c>
      <c r="F418" s="30">
        <f>155.746</f>
        <v>155.74600000000001</v>
      </c>
      <c r="G418" s="99"/>
      <c r="H418" s="30">
        <f>393.15648</f>
        <v>393.15647999999999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10.461</f>
        <v>10.461</v>
      </c>
      <c r="F419" s="30">
        <f>51.74791</f>
        <v>51.747909999999997</v>
      </c>
      <c r="G419" s="110"/>
      <c r="H419" s="30">
        <f>87.38174</f>
        <v>87.381739999999994</v>
      </c>
      <c r="I419" s="152"/>
      <c r="J419" s="132"/>
    </row>
    <row r="420" spans="1:10" ht="14.1" customHeight="1" x14ac:dyDescent="0.25">
      <c r="A420" s="216"/>
      <c r="B420" s="74"/>
      <c r="C420" s="277" t="s">
        <v>98</v>
      </c>
      <c r="D420" s="37"/>
      <c r="E420" s="39"/>
      <c r="F420" s="39"/>
      <c r="G420" s="40"/>
      <c r="H420" s="39"/>
      <c r="I420" s="152"/>
      <c r="J420" s="132"/>
    </row>
    <row r="421" spans="1:10" ht="14.1" customHeight="1" x14ac:dyDescent="0.25">
      <c r="A421" s="216"/>
      <c r="B421" s="74"/>
      <c r="C421" s="283" t="s">
        <v>88</v>
      </c>
      <c r="D421" s="41"/>
      <c r="E421" s="42">
        <f>E411+E414+E417+E420</f>
        <v>38.630000000000003</v>
      </c>
      <c r="F421" s="42">
        <f>F411+F414+F417+F420</f>
        <v>3867.3578899999998</v>
      </c>
      <c r="G421" s="43"/>
      <c r="H421" s="42">
        <f>H411+H414+H417+H420</f>
        <v>3679.23342</v>
      </c>
      <c r="I421" s="27"/>
      <c r="J421" s="132"/>
    </row>
    <row r="422" spans="1:10" ht="18.75" customHeight="1" x14ac:dyDescent="0.25">
      <c r="A422" s="216"/>
      <c r="B422" s="74"/>
      <c r="C422" s="152" t="s">
        <v>140</v>
      </c>
      <c r="D422" s="159"/>
      <c r="E422" s="152"/>
      <c r="F422" s="152"/>
      <c r="G422" s="152"/>
      <c r="H422" s="152"/>
      <c r="I422" s="152"/>
      <c r="J422" s="132"/>
    </row>
    <row r="423" spans="1:10" ht="14.1" customHeight="1" x14ac:dyDescent="0.25">
      <c r="A423" s="216"/>
      <c r="B423" s="8"/>
      <c r="C423" s="212" t="s">
        <v>141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40&amp;R10.10.2023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2023-10-11T10:29:40Z</dcterms:modified>
</cp:coreProperties>
</file>