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C563F5EE-2B0F-4F6B-B6A0-706CEC0A80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423" i="1" l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H413" i="1"/>
  <c r="H423" i="1" s="1"/>
  <c r="E413" i="1"/>
  <c r="E423" i="1" s="1"/>
  <c r="G391" i="1"/>
  <c r="I390" i="1"/>
  <c r="G390" i="1"/>
  <c r="H390" i="1" s="1"/>
  <c r="F390" i="1"/>
  <c r="I389" i="1"/>
  <c r="H389" i="1"/>
  <c r="G389" i="1"/>
  <c r="F389" i="1"/>
  <c r="I388" i="1"/>
  <c r="I386" i="1" s="1"/>
  <c r="G388" i="1"/>
  <c r="F388" i="1"/>
  <c r="I387" i="1"/>
  <c r="G387" i="1"/>
  <c r="F387" i="1"/>
  <c r="F386" i="1" s="1"/>
  <c r="G386" i="1"/>
  <c r="H386" i="1" s="1"/>
  <c r="I385" i="1"/>
  <c r="H385" i="1"/>
  <c r="G385" i="1"/>
  <c r="F385" i="1"/>
  <c r="I384" i="1"/>
  <c r="G384" i="1"/>
  <c r="H384" i="1" s="1"/>
  <c r="H380" i="1" s="1"/>
  <c r="H391" i="1" s="1"/>
  <c r="F384" i="1"/>
  <c r="I383" i="1"/>
  <c r="I380" i="1" s="1"/>
  <c r="I391" i="1" s="1"/>
  <c r="H383" i="1"/>
  <c r="G383" i="1"/>
  <c r="F383" i="1"/>
  <c r="F380" i="1" s="1"/>
  <c r="I382" i="1"/>
  <c r="G382" i="1"/>
  <c r="H382" i="1" s="1"/>
  <c r="F382" i="1"/>
  <c r="I381" i="1"/>
  <c r="H381" i="1"/>
  <c r="G381" i="1"/>
  <c r="F381" i="1"/>
  <c r="G380" i="1"/>
  <c r="D380" i="1"/>
  <c r="D391" i="1" s="1"/>
  <c r="H372" i="1"/>
  <c r="F372" i="1"/>
  <c r="H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E354" i="1" s="1"/>
  <c r="H350" i="1"/>
  <c r="F350" i="1"/>
  <c r="F354" i="1" s="1"/>
  <c r="E350" i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53" i="1" s="1"/>
  <c r="E249" i="1"/>
  <c r="E253" i="1" s="1"/>
  <c r="D207" i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E18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H184" i="1" s="1"/>
  <c r="F175" i="1"/>
  <c r="F184" i="1" s="1"/>
  <c r="E175" i="1"/>
  <c r="D167" i="1"/>
  <c r="D169" i="1" s="1"/>
  <c r="E150" i="1"/>
  <c r="I148" i="1"/>
  <c r="H148" i="1"/>
  <c r="G148" i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9" i="1" s="1"/>
  <c r="G140" i="1"/>
  <c r="G139" i="1" s="1"/>
  <c r="F140" i="1"/>
  <c r="I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G134" i="1"/>
  <c r="E134" i="1"/>
  <c r="D134" i="1"/>
  <c r="D133" i="1" s="1"/>
  <c r="D150" i="1" s="1"/>
  <c r="E133" i="1"/>
  <c r="I132" i="1"/>
  <c r="H132" i="1"/>
  <c r="F132" i="1"/>
  <c r="I131" i="1"/>
  <c r="G131" i="1"/>
  <c r="H131" i="1" s="1"/>
  <c r="F131" i="1"/>
  <c r="I130" i="1"/>
  <c r="H130" i="1"/>
  <c r="G130" i="1"/>
  <c r="F130" i="1"/>
  <c r="I129" i="1"/>
  <c r="I128" i="1" s="1"/>
  <c r="I150" i="1" s="1"/>
  <c r="G129" i="1"/>
  <c r="G128" i="1" s="1"/>
  <c r="F129" i="1"/>
  <c r="F128" i="1"/>
  <c r="F150" i="1" s="1"/>
  <c r="E128" i="1"/>
  <c r="D128" i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H97" i="1" s="1"/>
  <c r="F97" i="1"/>
  <c r="F96" i="1" s="1"/>
  <c r="F95" i="1" s="1"/>
  <c r="E96" i="1"/>
  <c r="E95" i="1" s="1"/>
  <c r="E107" i="1" s="1"/>
  <c r="D96" i="1"/>
  <c r="D95" i="1" s="1"/>
  <c r="I94" i="1"/>
  <c r="G94" i="1"/>
  <c r="H94" i="1" s="1"/>
  <c r="H92" i="1" s="1"/>
  <c r="F94" i="1"/>
  <c r="I93" i="1"/>
  <c r="H93" i="1"/>
  <c r="G93" i="1"/>
  <c r="F93" i="1"/>
  <c r="I92" i="1"/>
  <c r="I107" i="1" s="1"/>
  <c r="G92" i="1"/>
  <c r="F92" i="1"/>
  <c r="E92" i="1"/>
  <c r="D92" i="1"/>
  <c r="C89" i="1"/>
  <c r="H85" i="1"/>
  <c r="F85" i="1"/>
  <c r="D85" i="1"/>
  <c r="H61" i="1"/>
  <c r="I35" i="1" s="1"/>
  <c r="H60" i="1"/>
  <c r="I55" i="1"/>
  <c r="I32" i="1" s="1"/>
  <c r="G55" i="1"/>
  <c r="H55" i="1" s="1"/>
  <c r="F55" i="1"/>
  <c r="F32" i="1" s="1"/>
  <c r="F27" i="1" s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G35" i="1"/>
  <c r="F35" i="1"/>
  <c r="E35" i="1"/>
  <c r="H35" i="1" s="1"/>
  <c r="G34" i="1"/>
  <c r="H34" i="1" s="1"/>
  <c r="D34" i="1"/>
  <c r="I33" i="1"/>
  <c r="H33" i="1"/>
  <c r="G33" i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F28" i="1"/>
  <c r="E27" i="1"/>
  <c r="D27" i="1"/>
  <c r="D26" i="1" s="1"/>
  <c r="E26" i="1"/>
  <c r="I25" i="1"/>
  <c r="H25" i="1"/>
  <c r="H23" i="1" s="1"/>
  <c r="G25" i="1"/>
  <c r="F25" i="1"/>
  <c r="I24" i="1"/>
  <c r="I23" i="1" s="1"/>
  <c r="H24" i="1"/>
  <c r="G24" i="1"/>
  <c r="F24" i="1"/>
  <c r="F23" i="1" s="1"/>
  <c r="G23" i="1"/>
  <c r="E23" i="1"/>
  <c r="E44" i="1" s="1"/>
  <c r="D23" i="1"/>
  <c r="H16" i="1"/>
  <c r="F16" i="1"/>
  <c r="D16" i="1"/>
  <c r="I27" i="1" l="1"/>
  <c r="I34" i="1"/>
  <c r="I26" i="1" s="1"/>
  <c r="I44" i="1" s="1"/>
  <c r="H26" i="1"/>
  <c r="H44" i="1" s="1"/>
  <c r="G27" i="1"/>
  <c r="G26" i="1" s="1"/>
  <c r="G44" i="1" s="1"/>
  <c r="H28" i="1"/>
  <c r="H27" i="1" s="1"/>
  <c r="F34" i="1"/>
  <c r="F26" i="1" s="1"/>
  <c r="F44" i="1" s="1"/>
  <c r="G133" i="1"/>
  <c r="H96" i="1"/>
  <c r="H95" i="1" s="1"/>
  <c r="G184" i="1"/>
  <c r="G249" i="1"/>
  <c r="F253" i="1"/>
  <c r="G253" i="1" s="1"/>
  <c r="F391" i="1"/>
  <c r="G150" i="1"/>
  <c r="D107" i="1"/>
  <c r="G107" i="1"/>
  <c r="D44" i="1"/>
  <c r="F107" i="1"/>
  <c r="H107" i="1"/>
  <c r="H134" i="1"/>
  <c r="H133" i="1" s="1"/>
  <c r="G295" i="1"/>
  <c r="F299" i="1"/>
  <c r="G299" i="1"/>
  <c r="G354" i="1"/>
  <c r="F423" i="1"/>
  <c r="G413" i="1"/>
  <c r="G423" i="1"/>
  <c r="F207" i="1"/>
  <c r="G207" i="1" s="1"/>
  <c r="G96" i="1"/>
  <c r="G95" i="1" s="1"/>
  <c r="H129" i="1"/>
  <c r="H128" i="1" s="1"/>
  <c r="G350" i="1"/>
  <c r="G175" i="1"/>
  <c r="H150" i="1" l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<sst xmlns="http://schemas.openxmlformats.org/spreadsheetml/2006/main" count="359" uniqueCount="151">
  <si>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</si>
  <si>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</si>
  <si>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</si>
  <si>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</si>
  <si>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</si>
  <si>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</si>
  <si>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</si>
  <si>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</si>
  <si>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</si>
  <si>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</si>
  <si>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</si>
  <si>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</si>
  <si>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</si>
  <si>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</si>
  <si>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</si>
  <si>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</si>
  <si>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</si>
  <si>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</si>
  <si>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</si>
  <si>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</si>
  <si>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</si>
  <si>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</si>
  <si>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</si>
  <si>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</si>
  <si>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</si>
  <si>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</si>
  <si>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</si>
  <si>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</si>
  <si>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</si>
  <si>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</si>
  <si>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</si>
  <si>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</si>
  <si>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</si>
  <si>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</si>
  <si>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</si>
  <si>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</si>
  <si>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</si>
  <si>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</si>
  <si>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</si>
  <si>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</si>
  <si>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</si>
  <si>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</si>
  <si>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</si>
  <si>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</si>
  <si>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</si>
  <si>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</si>
  <si>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</si>
  <si>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</si>
  <si>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</si>
  <si>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</si>
  <si>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</si>
  <si>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</si>
  <si>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</si>
  <si>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</si>
  <si>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</si>
  <si>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</si>
  <si>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</si>
  <si>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</si>
  <si>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</si>
  <si>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</si>
  <si>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</si>
  <si>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</si>
  <si>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</si>
  <si>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</si>
  <si>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</si>
  <si>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</si>
  <si>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</si>
  <si>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</si>
  <si>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</si>
  <si>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</si>
  <si>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</si>
  <si>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</si>
  <si>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</si>
  <si>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</si>
  <si>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</si>
  <si>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</si>
  <si>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</si>
  <si>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</si>
  <si>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</si>
  <si>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</si>
  <si>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</si>
  <si>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</si>
  <si>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</si>
  <si>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</si>
  <si>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</si>
  <si>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</si>
  <si>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</si>
  <si>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</si>
  <si>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</si>
  <si>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</si>
  <si>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</si>
  <si>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</si>
  <si>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</si>
  <si>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</si>
  <si>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</si>
  <si>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</si>
  <si>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</si>
  <si>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</si>
  <si>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</si>
  <si>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</si>
  <si>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</si>
  <si>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</si>
  <si>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</si>
  <si>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</si>
  <si>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</si>
  <si>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</si>
  <si>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</si>
  <si>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</si>
  <si>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</si>
  <si>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</si>
  <si>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</si>
  <si>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</si>
  <si>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</si>
  <si>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</si>
  <si>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</si>
  <si>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</si>
  <si>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</si>
  <si>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</si>
  <si>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</si>
  <si>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</si>
  <si>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</si>
  <si>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</si>
  <si>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</si>
  <si>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</si>
  <si>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</si>
  <si>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</si>
  <si>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</si>
  <si>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</si>
  <si>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</si>
  <si>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</si>
  <si>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</si>
  <si>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</si>
  <si>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</si>
  <si>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</si>
  <si>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</si>
  <si>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</si>
  <si>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</si>
  <si>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</si>
  <si>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</si>
  <si>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</si>
  <si>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</si>
  <si>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</si>
  <si>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</si>
  <si>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63 tonn, men det legges til grunn at hele avsetningen tas</t>
  </si>
  <si>
    <t>4 Registrert rekreasjonsfiske utgjør 522 tonn, men det legges til grunn at hele avsetningen tas</t>
  </si>
  <si>
    <t>3 Registrert rekreasjonsfiske utgjør 899 tonn, men det legges til grunn at hele avsetningen tas</t>
  </si>
  <si>
    <t>FANGST UKE 49</t>
  </si>
  <si>
    <t>FANGST T.O.M UKE 49</t>
  </si>
  <si>
    <t>RESTKVOTER UKE 49</t>
  </si>
  <si>
    <t>FANGST T.O.M UKE 49 2023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</si>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</sst>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83" zoomScale="78" zoomScaleNormal="85" zoomScaleSheetLayoutView="100" zoomScalePageLayoutView="78" workbookViewId="0">
      <selection activeCell="F170" sqref="F170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118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302" t="s">
        <v>135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837.95399999999995</v>
      </c>
      <c r="G23" s="28">
        <f t="shared" si="0"/>
        <v>51713.813420000006</v>
      </c>
      <c r="H23" s="11">
        <f t="shared" si="0"/>
        <v>9098.1865799999978</v>
      </c>
      <c r="I23" s="11">
        <f t="shared" si="0"/>
        <v>78598.02741000001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837.954</f>
        <v>837.95399999999995</v>
      </c>
      <c r="G24" s="23">
        <f>51152.68349</f>
        <v>51152.683490000003</v>
      </c>
      <c r="H24" s="23">
        <f>E24-G24</f>
        <v>8889.3165099999969</v>
      </c>
      <c r="I24" s="23">
        <f>77900.10206</f>
        <v>77900.102060000005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561.12993</f>
        <v>561.12992999999994</v>
      </c>
      <c r="H25" s="23">
        <f>E25-G25</f>
        <v>208.87007000000006</v>
      </c>
      <c r="I25" s="23">
        <f>697.92535</f>
        <v>697.92534999999998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1546.47577</v>
      </c>
      <c r="G26" s="11">
        <f t="shared" si="1"/>
        <v>133640.67069</v>
      </c>
      <c r="H26" s="11">
        <f t="shared" si="1"/>
        <v>11233.329310000001</v>
      </c>
      <c r="I26" s="11">
        <f t="shared" si="1"/>
        <v>201527.54485000001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1350.5770600000001</v>
      </c>
      <c r="G27" s="132">
        <f t="shared" ref="G27:I27" si="2">G28+G29+G30+G31+G32</f>
        <v>106732.24818</v>
      </c>
      <c r="H27" s="132">
        <f t="shared" si="2"/>
        <v>6245.7518200000013</v>
      </c>
      <c r="I27" s="132">
        <f t="shared" si="2"/>
        <v>154810.96686000002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344.67835</f>
        <v>344.67835000000002</v>
      </c>
      <c r="G28" s="127">
        <f>28216.51557 - G56</f>
        <v>26327.51557</v>
      </c>
      <c r="H28" s="127">
        <f t="shared" ref="H28:H40" si="3">E28-G28</f>
        <v>2302.4844300000004</v>
      </c>
      <c r="I28" s="127">
        <f>39238.51243 - H56</f>
        <v>39238.512430000002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306.95457</f>
        <v>306.95456999999999</v>
      </c>
      <c r="G29" s="127">
        <f>30731.07644 - G57</f>
        <v>28506.076440000001</v>
      </c>
      <c r="H29" s="127">
        <f t="shared" si="3"/>
        <v>1158.9235599999993</v>
      </c>
      <c r="I29" s="127">
        <f>42466.37046 - H57</f>
        <v>42466.370459999998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75.86506</f>
        <v>75.86506</v>
      </c>
      <c r="G30" s="127">
        <f>27431.45598 - G58</f>
        <v>25963.455979999999</v>
      </c>
      <c r="H30" s="127">
        <f t="shared" si="3"/>
        <v>1280.5440200000012</v>
      </c>
      <c r="I30" s="127">
        <f>38345.73693 - H58</f>
        <v>38345.736929999999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46.07908</f>
        <v>46.079079999999998</v>
      </c>
      <c r="G31" s="127">
        <f>20353.20019 - G59</f>
        <v>19078.20019</v>
      </c>
      <c r="H31" s="127">
        <f t="shared" si="3"/>
        <v>260.79981000000043</v>
      </c>
      <c r="I31" s="127">
        <f>25742.34704 - H59</f>
        <v>25742.347040000001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577</v>
      </c>
      <c r="G32" s="127">
        <f>G55</f>
        <v>6857</v>
      </c>
      <c r="H32" s="127">
        <f t="shared" si="3"/>
        <v>1243</v>
      </c>
      <c r="I32" s="127">
        <f>I55</f>
        <v>9018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0.80976</f>
        <v>0.80976000000000004</v>
      </c>
      <c r="G33" s="132">
        <f>14200.46679</f>
        <v>14200.46679</v>
      </c>
      <c r="H33" s="132">
        <f t="shared" si="3"/>
        <v>2658.5332099999996</v>
      </c>
      <c r="I33" s="132">
        <f>20182.73576</f>
        <v>20182.73576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195.08895000000001</v>
      </c>
      <c r="G34" s="132">
        <f>G35+G36</f>
        <v>12707.95572</v>
      </c>
      <c r="H34" s="132">
        <f t="shared" si="3"/>
        <v>2329.0442800000001</v>
      </c>
      <c r="I34" s="132">
        <f>I35+I36</f>
        <v>26533.842229999998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112.08895</f>
        <v>112.08895</v>
      </c>
      <c r="G35" s="132">
        <f>15630.95572 - G60 - G61</f>
        <v>11725.95572</v>
      </c>
      <c r="H35" s="127">
        <f t="shared" si="3"/>
        <v>2351.0442800000001</v>
      </c>
      <c r="I35" s="127">
        <f>25545.84223 - H60 - H61</f>
        <v>25490.842229999998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83</v>
      </c>
      <c r="G36" s="71">
        <f>G60</f>
        <v>982</v>
      </c>
      <c r="H36" s="71">
        <f t="shared" si="3"/>
        <v>-22</v>
      </c>
      <c r="I36" s="71">
        <f>I60</f>
        <v>1043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4.5919</f>
        <v>4.5918999999999999</v>
      </c>
      <c r="G38" s="98">
        <f>526.30886</f>
        <v>526.30885999999998</v>
      </c>
      <c r="H38" s="98">
        <f t="shared" si="3"/>
        <v>328.69114000000002</v>
      </c>
      <c r="I38" s="98">
        <f>614.2082</f>
        <v>614.20820000000003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9</v>
      </c>
      <c r="G39" s="98">
        <f>G61</f>
        <v>2923</v>
      </c>
      <c r="H39" s="98">
        <f t="shared" si="3"/>
        <v>77</v>
      </c>
      <c r="I39" s="98">
        <f>I61</f>
        <v>4510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1.43922</f>
        <v>1.4392199999999999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11.469</f>
        <v>11.468999999999999</v>
      </c>
      <c r="G41" s="98">
        <f>369.85645</f>
        <v>369.85645</v>
      </c>
      <c r="H41" s="98">
        <f>E41-G41</f>
        <v>30.143550000000005</v>
      </c>
      <c r="I41" s="98">
        <f>366.5118</f>
        <v>366.51179999999999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1.885</f>
        <v>1.885</v>
      </c>
      <c r="G43" s="139">
        <f>158.07126</f>
        <v>158.07126</v>
      </c>
      <c r="H43" s="139">
        <f t="shared" ref="H43" si="4">E43-G43</f>
        <v>-158.07126</v>
      </c>
      <c r="I43" s="139">
        <f>206.77877</f>
        <v>206.77877000000001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2412.8148900000001</v>
      </c>
      <c r="G44" s="76">
        <f t="shared" si="5"/>
        <v>196680.08588</v>
      </c>
      <c r="H44" s="76">
        <f t="shared" si="5"/>
        <v>22360.914119999998</v>
      </c>
      <c r="I44" s="76">
        <f t="shared" si="5"/>
        <v>293569.86262999999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295">
        <v>7872</v>
      </c>
      <c r="E55" s="295">
        <v>8100</v>
      </c>
      <c r="F55" s="11">
        <f>F59+F58+F57+F56</f>
        <v>577</v>
      </c>
      <c r="G55" s="11">
        <f>G59+G58+G57+G56</f>
        <v>6857</v>
      </c>
      <c r="H55" s="295">
        <f>E55-G55</f>
        <v>1243</v>
      </c>
      <c r="I55" s="11">
        <f>I59+I58+I57+I56</f>
        <v>9018</v>
      </c>
      <c r="J55" s="120"/>
    </row>
    <row r="56" spans="1:10" ht="14.15" customHeight="1" x14ac:dyDescent="0.35">
      <c r="A56" s="101"/>
      <c r="B56" s="24"/>
      <c r="C56" s="62" t="s">
        <v>24</v>
      </c>
      <c r="D56" s="296"/>
      <c r="E56" s="296"/>
      <c r="F56" s="127">
        <v>248</v>
      </c>
      <c r="G56" s="127">
        <v>1889</v>
      </c>
      <c r="H56" s="296"/>
      <c r="I56" s="127">
        <v>1793</v>
      </c>
      <c r="J56" s="120"/>
    </row>
    <row r="57" spans="1:10" ht="14.15" customHeight="1" x14ac:dyDescent="0.35">
      <c r="A57" s="101"/>
      <c r="B57" s="24"/>
      <c r="C57" s="62" t="s">
        <v>25</v>
      </c>
      <c r="D57" s="296"/>
      <c r="E57" s="296"/>
      <c r="F57" s="127">
        <v>222</v>
      </c>
      <c r="G57" s="127">
        <v>2225</v>
      </c>
      <c r="H57" s="296"/>
      <c r="I57" s="127">
        <v>3095</v>
      </c>
      <c r="J57" s="244"/>
    </row>
    <row r="58" spans="1:10" ht="14.15" customHeight="1" x14ac:dyDescent="0.35">
      <c r="A58" s="101"/>
      <c r="B58" s="24"/>
      <c r="C58" s="62" t="s">
        <v>26</v>
      </c>
      <c r="D58" s="296"/>
      <c r="E58" s="296"/>
      <c r="F58" s="127">
        <v>60</v>
      </c>
      <c r="G58" s="127">
        <v>1468</v>
      </c>
      <c r="H58" s="296"/>
      <c r="I58" s="127">
        <v>2748</v>
      </c>
      <c r="J58" s="120"/>
    </row>
    <row r="59" spans="1:10" ht="14.15" customHeight="1" x14ac:dyDescent="0.35">
      <c r="A59" s="101"/>
      <c r="B59" s="24"/>
      <c r="C59" s="87" t="s">
        <v>27</v>
      </c>
      <c r="D59" s="297"/>
      <c r="E59" s="297"/>
      <c r="F59" s="192">
        <v>47</v>
      </c>
      <c r="G59" s="192">
        <v>1275</v>
      </c>
      <c r="H59" s="297"/>
      <c r="I59" s="192">
        <v>1382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83</v>
      </c>
      <c r="G60" s="95">
        <v>982</v>
      </c>
      <c r="H60" s="95">
        <f>E60-G60</f>
        <v>-22</v>
      </c>
      <c r="I60" s="95">
        <v>1043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9</v>
      </c>
      <c r="G61" s="139">
        <v>2923</v>
      </c>
      <c r="H61" s="139">
        <f>E61-G61</f>
        <v>77</v>
      </c>
      <c r="I61" s="139">
        <v>4510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69.069000000000003</v>
      </c>
      <c r="G92" s="11">
        <f t="shared" si="6"/>
        <v>24955.864289999998</v>
      </c>
      <c r="H92" s="11">
        <f t="shared" si="6"/>
        <v>1005.1357100000016</v>
      </c>
      <c r="I92" s="11">
        <f t="shared" si="6"/>
        <v>44854.13293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69.069</f>
        <v>69.069000000000003</v>
      </c>
      <c r="G93" s="23">
        <f>24152.46694</f>
        <v>24152.466939999998</v>
      </c>
      <c r="H93" s="23">
        <f>E93-G93</f>
        <v>983.53306000000157</v>
      </c>
      <c r="I93" s="23">
        <f>44176.93634</f>
        <v>44176.93634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803.39735</f>
        <v>803.39734999999996</v>
      </c>
      <c r="H94" s="50">
        <f>E94-G94</f>
        <v>21.60265000000004</v>
      </c>
      <c r="I94" s="50">
        <f>677.19659</f>
        <v>677.19659000000001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287.57705000000004</v>
      </c>
      <c r="G95" s="11">
        <f t="shared" si="7"/>
        <v>43720.773970000009</v>
      </c>
      <c r="H95" s="11">
        <f t="shared" si="7"/>
        <v>5273.2260299999989</v>
      </c>
      <c r="I95" s="11">
        <f t="shared" si="7"/>
        <v>41313.641960000001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233.38213000000002</v>
      </c>
      <c r="G96" s="132">
        <f t="shared" si="8"/>
        <v>34291.829480000008</v>
      </c>
      <c r="H96" s="132">
        <f t="shared" si="8"/>
        <v>3202.1705199999988</v>
      </c>
      <c r="I96" s="132">
        <f t="shared" si="8"/>
        <v>26578.834280000003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94.70257</f>
        <v>94.702569999999994</v>
      </c>
      <c r="G97" s="127">
        <f>6162.26433</f>
        <v>6162.26433</v>
      </c>
      <c r="H97" s="127">
        <f t="shared" ref="H97:H104" si="9">E97-G97</f>
        <v>3852.73567</v>
      </c>
      <c r="I97" s="127">
        <f>5245.67924</f>
        <v>5245.6792400000004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85.09493</f>
        <v>85.094930000000005</v>
      </c>
      <c r="G98" s="127">
        <f>10853.91112</f>
        <v>10853.911120000001</v>
      </c>
      <c r="H98" s="127">
        <f t="shared" si="9"/>
        <v>-239.91112000000066</v>
      </c>
      <c r="I98" s="127">
        <f>8729.54432</f>
        <v>8729.5443200000009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37.87181</f>
        <v>37.871810000000004</v>
      </c>
      <c r="G99" s="127">
        <f>10179.79944</f>
        <v>10179.799440000001</v>
      </c>
      <c r="H99" s="127">
        <f t="shared" si="9"/>
        <v>-67.799440000000686</v>
      </c>
      <c r="I99" s="127">
        <f>7213.96183</f>
        <v>7213.9618300000002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15.71282</f>
        <v>15.712820000000001</v>
      </c>
      <c r="G100" s="127">
        <f>7095.85459</f>
        <v>7095.8545899999999</v>
      </c>
      <c r="H100" s="127">
        <f t="shared" si="9"/>
        <v>-342.85458999999992</v>
      </c>
      <c r="I100" s="127">
        <f>5389.64889</f>
        <v>5389.6488900000004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1.22468</f>
        <v>1.22468</v>
      </c>
      <c r="G101" s="132">
        <f>6541.27964</f>
        <v>6541.2796399999997</v>
      </c>
      <c r="H101" s="132">
        <f t="shared" si="9"/>
        <v>1054.7203600000003</v>
      </c>
      <c r="I101" s="132">
        <f>12115.47061</f>
        <v>12115.47061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52.97024</f>
        <v>52.970239999999997</v>
      </c>
      <c r="G102" s="75">
        <f>2887.66485</f>
        <v>2887.6648500000001</v>
      </c>
      <c r="H102" s="75">
        <f t="shared" si="9"/>
        <v>1016.3351499999999</v>
      </c>
      <c r="I102" s="75">
        <f>2619.33707</f>
        <v>2619.33707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0.1866</f>
        <v>0.18659999999999999</v>
      </c>
      <c r="G103" s="98">
        <f>36.82104</f>
        <v>36.821040000000004</v>
      </c>
      <c r="H103" s="98">
        <f t="shared" si="9"/>
        <v>282.17896000000002</v>
      </c>
      <c r="I103" s="98">
        <f>17.52586</f>
        <v>17.525860000000002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0.07185</f>
        <v>7.1849999999999997E-2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0.72478</f>
        <v>0.72477999999999998</v>
      </c>
      <c r="G105" s="98">
        <f>56.7055</f>
        <v>56.705500000000001</v>
      </c>
      <c r="H105" s="139">
        <f>E105-G105</f>
        <v>-6.7055000000000007</v>
      </c>
      <c r="I105" s="98">
        <f>19.40706</f>
        <v>19.407060000000001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1.185</f>
        <v>1.1850000000000001</v>
      </c>
      <c r="G106" s="139">
        <f>53.75992</f>
        <v>53.759920000000001</v>
      </c>
      <c r="H106" s="139">
        <f t="shared" ref="H106" si="10">E106-G106</f>
        <v>-53.759920000000001</v>
      </c>
      <c r="I106" s="139">
        <f>104.04606</f>
        <v>104.04606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358.81428000000005</v>
      </c>
      <c r="G107" s="76">
        <f t="shared" si="12"/>
        <v>69123.924719999995</v>
      </c>
      <c r="H107" s="76">
        <f t="shared" si="12"/>
        <v>6500.07528</v>
      </c>
      <c r="I107" s="76">
        <f t="shared" si="12"/>
        <v>86608.753869999986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72627</v>
      </c>
      <c r="F128" s="11">
        <f t="shared" ref="F128:I128" si="13">F129+F130+F131</f>
        <v>1240.84845</v>
      </c>
      <c r="G128" s="11">
        <f t="shared" si="13"/>
        <v>61565.279830000007</v>
      </c>
      <c r="H128" s="11">
        <f t="shared" si="13"/>
        <v>11061.720170000001</v>
      </c>
      <c r="I128" s="11">
        <f t="shared" si="13"/>
        <v>70635.033790000001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57854</v>
      </c>
      <c r="F129" s="23">
        <f>1240.84845</f>
        <v>1240.84845</v>
      </c>
      <c r="G129" s="23">
        <f>54935.8211</f>
        <v>54935.821100000001</v>
      </c>
      <c r="H129" s="23">
        <f>E129-G129</f>
        <v>2918.178899999999</v>
      </c>
      <c r="I129" s="23">
        <f>60595.58479</f>
        <v>60595.584790000001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14273</v>
      </c>
      <c r="F130" s="23">
        <f>0</f>
        <v>0</v>
      </c>
      <c r="G130" s="23">
        <f>6552.94458</f>
        <v>6552.9445800000003</v>
      </c>
      <c r="H130" s="23">
        <f>E130-G130</f>
        <v>7720.0554199999997</v>
      </c>
      <c r="I130" s="23">
        <f>9884.16295</f>
        <v>9884.1629499999999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76.51415</f>
        <v>76.514150000000001</v>
      </c>
      <c r="H131" s="55">
        <f>E131-G131</f>
        <v>423.48585000000003</v>
      </c>
      <c r="I131" s="23">
        <f>155.28605</f>
        <v>155.28604999999999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52483</v>
      </c>
      <c r="F132" s="95">
        <f>27.749</f>
        <v>27.748999999999999</v>
      </c>
      <c r="G132" s="95">
        <f>16706.1028+7183.0032</f>
        <v>23889.106</v>
      </c>
      <c r="H132" s="95">
        <f>E132-G132</f>
        <v>28593.894</v>
      </c>
      <c r="I132" s="95">
        <f>39024.31718</f>
        <v>39024.317179999998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80329</v>
      </c>
      <c r="F133" s="94">
        <f>F134+F139+F142</f>
        <v>1797.1772199999998</v>
      </c>
      <c r="G133" s="94">
        <f t="shared" ref="G133" si="14">G134+G139+G142</f>
        <v>69512.768679999994</v>
      </c>
      <c r="H133" s="94">
        <f>H134+H139+H142</f>
        <v>10816.231319999999</v>
      </c>
      <c r="I133" s="94">
        <f>I134+I139+I142</f>
        <v>83894.868170000002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59251</v>
      </c>
      <c r="F134" s="125">
        <f>F135+F136+F137+F138</f>
        <v>1682.8736199999998</v>
      </c>
      <c r="G134" s="125">
        <f>G135+G136+G138+G137</f>
        <v>53359.965169999996</v>
      </c>
      <c r="H134" s="125">
        <f>H135+H136+H137+H138</f>
        <v>5891.0348299999987</v>
      </c>
      <c r="I134" s="125">
        <f>I135+I136+I137+I138</f>
        <v>66499.792629999996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17770</v>
      </c>
      <c r="F135" s="127">
        <f>360.79301</f>
        <v>360.79300999999998</v>
      </c>
      <c r="G135" s="127">
        <v>12130.430050000001</v>
      </c>
      <c r="H135" s="127">
        <f>E135-G135</f>
        <v>5639.5699499999992</v>
      </c>
      <c r="I135" s="127">
        <f>12239.53259</f>
        <v>12239.532590000001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14935</v>
      </c>
      <c r="F136" s="127">
        <f>690.74926</f>
        <v>690.74926000000005</v>
      </c>
      <c r="G136" s="127">
        <v>15320.680965</v>
      </c>
      <c r="H136" s="127">
        <f>E136-G136</f>
        <v>-385.68096499999956</v>
      </c>
      <c r="I136" s="127">
        <f>18350.00794</f>
        <v>18350.00794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13047</v>
      </c>
      <c r="F137" s="127">
        <f>398.63215</f>
        <v>398.63215000000002</v>
      </c>
      <c r="G137" s="127">
        <v>13579.070244999999</v>
      </c>
      <c r="H137" s="127">
        <f>E137-G137</f>
        <v>-532.07024499999898</v>
      </c>
      <c r="I137" s="127">
        <f>19496.99626</f>
        <v>19496.99626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13499</v>
      </c>
      <c r="F138" s="127">
        <f>232.6992</f>
        <v>232.69919999999999</v>
      </c>
      <c r="G138" s="127">
        <v>12329.783910000002</v>
      </c>
      <c r="H138" s="127">
        <f>E138-G138</f>
        <v>1169.2160899999981</v>
      </c>
      <c r="I138" s="127">
        <f>16413.25584</f>
        <v>16413.255840000002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8925</v>
      </c>
      <c r="F139" s="132">
        <f>SUM(F140:F141)</f>
        <v>10.247589999999999</v>
      </c>
      <c r="G139" s="132">
        <f>SUM(G140:G141)</f>
        <v>9277.9018300000007</v>
      </c>
      <c r="H139" s="132">
        <f>H140+H141</f>
        <v>-352.90182999999996</v>
      </c>
      <c r="I139" s="132">
        <f>SUM(I140:I141)</f>
        <v>8622.024449999999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8425</v>
      </c>
      <c r="F140" s="127">
        <f>4.79479</f>
        <v>4.7947899999999999</v>
      </c>
      <c r="G140" s="127">
        <f>8803.8017</f>
        <v>8803.8017</v>
      </c>
      <c r="H140" s="127">
        <f t="shared" ref="H140:H148" si="15">E140-G140</f>
        <v>-378.80169999999998</v>
      </c>
      <c r="I140" s="127">
        <f>8337.20839</f>
        <v>8337.2083899999998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5.4528</f>
        <v>5.4527999999999999</v>
      </c>
      <c r="G141" s="127">
        <f>474.10013</f>
        <v>474.10012999999998</v>
      </c>
      <c r="H141" s="127">
        <f t="shared" si="15"/>
        <v>25.899870000000021</v>
      </c>
      <c r="I141" s="127">
        <f>284.81606</f>
        <v>284.81605999999999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12153</v>
      </c>
      <c r="F142" s="75">
        <f>104.05601</f>
        <v>104.05601</v>
      </c>
      <c r="G142" s="75">
        <f>6874.90168</f>
        <v>6874.9016799999999</v>
      </c>
      <c r="H142" s="75">
        <f t="shared" si="15"/>
        <v>5278.0983200000001</v>
      </c>
      <c r="I142" s="75">
        <f>8773.05109</f>
        <v>8773.0510900000008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16.4778</f>
        <v>16.477799999999998</v>
      </c>
      <c r="H143" s="139">
        <f t="shared" si="15"/>
        <v>129.5222</v>
      </c>
      <c r="I143" s="139">
        <f>34.47598</f>
        <v>34.47598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1.24223</f>
        <v>1.2422299999999999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3.8752</f>
        <v>3.8752</v>
      </c>
      <c r="G147" s="98">
        <f>83.42661</f>
        <v>83.426609999999997</v>
      </c>
      <c r="H147" s="139">
        <f t="shared" si="15"/>
        <v>192.57339000000002</v>
      </c>
      <c r="I147" s="98">
        <f>42.12301</f>
        <v>42.123010000000001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0.138</f>
        <v>0.13800000000000001</v>
      </c>
      <c r="G148" s="139">
        <f>292.85624</f>
        <v>292.85624000000001</v>
      </c>
      <c r="H148" s="139">
        <f t="shared" si="15"/>
        <v>-292.85624000000001</v>
      </c>
      <c r="I148" s="139">
        <f>627.82221</f>
        <v>627.82221000000004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208111</v>
      </c>
      <c r="F150" s="76">
        <f>F128+F132+F133+F143+F144+F145+F146+F147+F148</f>
        <v>3071.0300999999995</v>
      </c>
      <c r="G150" s="76">
        <f>G128+G132+G133+G143+G144+G145+G146+G147+G148</f>
        <v>157615.95116</v>
      </c>
      <c r="H150" s="76">
        <f>H128+H132+H133+H143+H144+H145+H146+H147+H148</f>
        <v>50495.048839999996</v>
      </c>
      <c r="I150" s="76">
        <f>I128+I132+I133+I143+I144+I145+I146+I147+I148</f>
        <v>196521.22134000002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53.16556</f>
        <v>53.165559999999999</v>
      </c>
      <c r="F175" s="276">
        <f>1594.07477</f>
        <v>1594.0747699999999</v>
      </c>
      <c r="G175" s="43">
        <f>D175-F175-F176</f>
        <v>999.31402999999978</v>
      </c>
      <c r="H175" s="276">
        <f>2296.80795</f>
        <v>2296.8079499999999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0</f>
        <v>0</v>
      </c>
      <c r="F176" s="152">
        <f>1629.6112</f>
        <v>1629.6112000000001</v>
      </c>
      <c r="G176" s="217"/>
      <c r="H176" s="152">
        <f>1971.31746</f>
        <v>1971.31746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0.12328</f>
        <v>0.12328</v>
      </c>
      <c r="F177" s="172">
        <f>125.82859</f>
        <v>125.82859000000001</v>
      </c>
      <c r="G177" s="172">
        <f>D177-F177</f>
        <v>74.171409999999995</v>
      </c>
      <c r="H177" s="172">
        <f>77.66978</f>
        <v>77.669780000000003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1.9643300000000001</v>
      </c>
      <c r="F178" s="181">
        <f>F179+F180+F181</f>
        <v>5992.66777</v>
      </c>
      <c r="G178" s="181">
        <f>D178-F178</f>
        <v>341.33222999999998</v>
      </c>
      <c r="H178" s="181">
        <f>H179+H180+H181</f>
        <v>8197.7211500000012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0.47265</f>
        <v>0.47265000000000001</v>
      </c>
      <c r="F179" s="127">
        <f>3093.14483</f>
        <v>3093.1448300000002</v>
      </c>
      <c r="G179" s="127"/>
      <c r="H179" s="127">
        <f>4200.38587</f>
        <v>4200.3858700000001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1.41012</f>
        <v>1.41012</v>
      </c>
      <c r="F180" s="127">
        <f>1833.96115</f>
        <v>1833.9611500000001</v>
      </c>
      <c r="G180" s="127"/>
      <c r="H180" s="127">
        <f>2529.13067</f>
        <v>2529.13067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0.08156</f>
        <v>8.1559999999999994E-2</v>
      </c>
      <c r="F181" s="192">
        <f>1065.56179</f>
        <v>1065.56179</v>
      </c>
      <c r="G181" s="192"/>
      <c r="H181" s="192">
        <f>1468.20461</f>
        <v>1468.20461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55.253169999999997</v>
      </c>
      <c r="F184" s="194">
        <f>F175+F176+F177+F178+F182+F183</f>
        <v>9342.1823299999996</v>
      </c>
      <c r="G184" s="194">
        <f>D184-F184</f>
        <v>1480.8176700000004</v>
      </c>
      <c r="H184" s="194">
        <f>H175+H176+H177+H178+H182+H183</f>
        <v>12543.516340000002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84.1311</f>
        <v>84.131100000000004</v>
      </c>
      <c r="F204" s="124">
        <f>43939.46827</f>
        <v>43939.468269999998</v>
      </c>
      <c r="G204" s="124">
        <f>D204-F204</f>
        <v>2342.5317300000024</v>
      </c>
      <c r="H204" s="124">
        <f>42374.1578</f>
        <v>42374.157800000001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0.2249</f>
        <v>0.22489999999999999</v>
      </c>
      <c r="F205" s="124">
        <f>44.70254</f>
        <v>44.702539999999999</v>
      </c>
      <c r="G205" s="124">
        <f>D205-F205</f>
        <v>55.297460000000001</v>
      </c>
      <c r="H205" s="124">
        <f>71.73028</f>
        <v>71.730279999999993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84.356000000000009</v>
      </c>
      <c r="F207" s="190">
        <f>SUM(F204:F206)</f>
        <v>43984.170809999996</v>
      </c>
      <c r="G207" s="190">
        <f>D207-F207</f>
        <v>2433.829190000004</v>
      </c>
      <c r="H207" s="190">
        <f>SUM(H204:H206)</f>
        <v>42445.888080000004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16.788240000000002</v>
      </c>
      <c r="F249" s="75">
        <f>F250+F251</f>
        <v>4360.4979700000004</v>
      </c>
      <c r="G249" s="75">
        <f>D249-F249</f>
        <v>-373.49797000000035</v>
      </c>
      <c r="H249" s="75">
        <f>H250+H251</f>
        <v>4378.7362000000003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6.61838</f>
        <v>6.6183800000000002</v>
      </c>
      <c r="F250" s="75">
        <f>3683.23687</f>
        <v>3683.2368700000002</v>
      </c>
      <c r="G250" s="75"/>
      <c r="H250" s="75">
        <f>3649.66649</f>
        <v>3649.6664900000001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10.16986</f>
        <v>10.16986</v>
      </c>
      <c r="F251" s="124">
        <f>677.2611</f>
        <v>677.26110000000006</v>
      </c>
      <c r="G251" s="168"/>
      <c r="H251" s="124">
        <f>729.06971</f>
        <v>729.06970999999999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42.82824</f>
        <v>42.828240000000001</v>
      </c>
      <c r="F252" s="75">
        <f>5595.69828</f>
        <v>5595.6982799999996</v>
      </c>
      <c r="G252" s="75">
        <f>D252-F252</f>
        <v>-982.69827999999961</v>
      </c>
      <c r="H252" s="75">
        <f>5750.92468</f>
        <v>5750.9246800000001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59.616480000000003</v>
      </c>
      <c r="F253" s="190">
        <f>SUM(F249,F252)</f>
        <v>9956.1962500000009</v>
      </c>
      <c r="G253" s="190">
        <f>D253-F253</f>
        <v>-1356.1962500000009</v>
      </c>
      <c r="H253" s="190">
        <f>SUM(H249,H252)</f>
        <v>10129.660879999999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9.4419699999999995</v>
      </c>
      <c r="F295" s="75">
        <f>F296+F297</f>
        <v>5451.7375899999997</v>
      </c>
      <c r="G295" s="75">
        <f>D295-F295</f>
        <v>-361.73758999999973</v>
      </c>
      <c r="H295" s="75">
        <f>H296+H297</f>
        <v>6121.9152100000001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1.59909</f>
        <v>1.5990899999999999</v>
      </c>
      <c r="F296" s="75">
        <f>4877.85747</f>
        <v>4877.8574699999999</v>
      </c>
      <c r="G296" s="75"/>
      <c r="H296" s="75">
        <f>5588.37805</f>
        <v>5588.3780500000003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7.84288</f>
        <v>7.8428800000000001</v>
      </c>
      <c r="F297" s="124">
        <f>573.88012</f>
        <v>573.88012000000003</v>
      </c>
      <c r="G297" s="168"/>
      <c r="H297" s="124">
        <f>533.53716</f>
        <v>533.53715999999997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130.8129</f>
        <v>130.81290000000001</v>
      </c>
      <c r="F298" s="75">
        <f>3490.62017</f>
        <v>3490.6201700000001</v>
      </c>
      <c r="G298" s="75">
        <f>D298-F298</f>
        <v>-509.62017000000014</v>
      </c>
      <c r="H298" s="75">
        <f>4382.7</f>
        <v>4382.7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140.25487000000001</v>
      </c>
      <c r="F299" s="190">
        <f>SUM(F295,F298)</f>
        <v>8942.357759999999</v>
      </c>
      <c r="G299" s="190">
        <f>D299-F299</f>
        <v>-871.35775999999896</v>
      </c>
      <c r="H299" s="190">
        <f>SUM(H295,H298)</f>
        <v>10504.61521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0.6592</f>
        <v>0.65920000000000001</v>
      </c>
      <c r="F350" s="124">
        <f>687.2219</f>
        <v>687.22190000000001</v>
      </c>
      <c r="G350" s="124">
        <f>D350-F350</f>
        <v>112.77809999999999</v>
      </c>
      <c r="H350" s="124">
        <f>614.41842</f>
        <v>614.41841999999997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12.92356</f>
        <v>12.92356</v>
      </c>
      <c r="F351" s="124">
        <f>2620.59474</f>
        <v>2620.59474</v>
      </c>
      <c r="G351" s="124">
        <f>D351-F351</f>
        <v>420.40526</v>
      </c>
      <c r="H351" s="124">
        <f>2801.16111</f>
        <v>2801.16111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3.78662</f>
        <v>3.7866200000000001</v>
      </c>
      <c r="G352" s="124">
        <f>D352-F352</f>
        <v>6.2133799999999999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2.54029</f>
        <v>2.5402900000000002</v>
      </c>
      <c r="G353" s="124">
        <f>D353-F353</f>
        <v>-2.5402900000000002</v>
      </c>
      <c r="H353" s="168">
        <f>1.81523</f>
        <v>1.8152299999999999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13.58276</v>
      </c>
      <c r="F354" s="190">
        <f>SUM(F350:F353)</f>
        <v>3314.1435499999998</v>
      </c>
      <c r="G354" s="190">
        <f>D354-F354</f>
        <v>536.85645000000022</v>
      </c>
      <c r="H354" s="190">
        <f>H350+H351+H352+H353</f>
        <v>3420.1334999999999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3.6073999999999997</v>
      </c>
      <c r="G380" s="253">
        <f t="shared" si="17"/>
        <v>20239.354700000004</v>
      </c>
      <c r="H380" s="253">
        <f>H384+H383+H382+H381</f>
        <v>2729.6452999999992</v>
      </c>
      <c r="I380" s="253">
        <f t="shared" si="17"/>
        <v>17379.489000000001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0</f>
        <v>0</v>
      </c>
      <c r="G381" s="257">
        <f>13105.02438</f>
        <v>13105.024380000001</v>
      </c>
      <c r="H381" s="257">
        <f t="shared" ref="H381:H385" si="18">E381-G381</f>
        <v>84.975619999999253</v>
      </c>
      <c r="I381" s="257">
        <f>10173.10933</f>
        <v>10173.109329999999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2382.55392</f>
        <v>2382.5539199999998</v>
      </c>
      <c r="H382" s="257">
        <f t="shared" si="18"/>
        <v>1050.4460800000002</v>
      </c>
      <c r="I382" s="257">
        <f>1811.41785</f>
        <v>1811.41785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0.711</f>
        <v>0.71099999999999997</v>
      </c>
      <c r="G383" s="257">
        <f>2194.39089</f>
        <v>2194.3908900000001</v>
      </c>
      <c r="H383" s="257">
        <f t="shared" si="18"/>
        <v>-711.39089000000013</v>
      </c>
      <c r="I383" s="257">
        <f>2196.63552</f>
        <v>2196.6355199999998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2.8964</f>
        <v>2.8963999999999999</v>
      </c>
      <c r="G384" s="257">
        <f>2557.38551</f>
        <v>2557.3855100000001</v>
      </c>
      <c r="H384" s="257">
        <f t="shared" si="18"/>
        <v>2305.6144899999999</v>
      </c>
      <c r="I384" s="257">
        <f>3198.3263</f>
        <v>3198.3263000000002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0</f>
        <v>0</v>
      </c>
      <c r="G385" s="268">
        <f>2272.83678</f>
        <v>2272.8367800000001</v>
      </c>
      <c r="H385" s="268">
        <f t="shared" si="18"/>
        <v>3227.1632199999999</v>
      </c>
      <c r="I385" s="268">
        <f>5114.01628</f>
        <v>5114.0162799999998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13.885450000000001</v>
      </c>
      <c r="G386" s="269">
        <f>G388+G387</f>
        <v>4241.1998299999996</v>
      </c>
      <c r="H386" s="269">
        <f>E386-G386</f>
        <v>3758.8001700000004</v>
      </c>
      <c r="I386" s="269">
        <f>I388+I387</f>
        <v>4801.2056499999999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1065.53427</f>
        <v>1065.5342700000001</v>
      </c>
      <c r="H387" s="257"/>
      <c r="I387" s="257">
        <f>863.37623</f>
        <v>863.37622999999996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13.88545</f>
        <v>13.885450000000001</v>
      </c>
      <c r="G388" s="278">
        <f>3175.66556</f>
        <v>3175.6655599999999</v>
      </c>
      <c r="H388" s="278"/>
      <c r="I388" s="278">
        <f>3937.82942</f>
        <v>3937.82942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0.1565</f>
        <v>0.1565</v>
      </c>
      <c r="H389" s="268">
        <f>E389-G389</f>
        <v>12.843500000000001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0.0504</f>
        <v>5.04E-2</v>
      </c>
      <c r="G390" s="268">
        <f>133.99801</f>
        <v>133.99800999999999</v>
      </c>
      <c r="H390" s="268">
        <f>E390-G390</f>
        <v>-133.99800999999999</v>
      </c>
      <c r="I390" s="268">
        <f>149.07417</f>
        <v>149.07417000000001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17.54325</v>
      </c>
      <c r="G391" s="287">
        <f t="shared" si="19"/>
        <v>26887.545820000007</v>
      </c>
      <c r="H391" s="287">
        <f>H380+H385+H386+H389+H390</f>
        <v>9594.4541800000006</v>
      </c>
      <c r="I391" s="287">
        <f t="shared" si="19"/>
        <v>27444.533600000002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1" t="s">
        <v>138</v>
      </c>
      <c r="D407" s="301"/>
      <c r="E407" s="301"/>
      <c r="F407" s="301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1023.7848799999999</v>
      </c>
      <c r="G413" s="85">
        <f>D413-F413</f>
        <v>-129.78487999999993</v>
      </c>
      <c r="H413" s="26">
        <f>SUM(H414:H415)</f>
        <v>988.40122999999994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0</f>
        <v>0</v>
      </c>
      <c r="F414" s="205">
        <f>779.52608</f>
        <v>779.52607999999998</v>
      </c>
      <c r="G414" s="206"/>
      <c r="H414" s="205">
        <f>753.71223</f>
        <v>753.71222999999998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0</f>
        <v>0</v>
      </c>
      <c r="F415" s="208">
        <f>244.2588</f>
        <v>244.25880000000001</v>
      </c>
      <c r="G415" s="209"/>
      <c r="H415" s="208">
        <f>234.689</f>
        <v>234.68899999999999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46.735900000000001</v>
      </c>
      <c r="F416" s="26">
        <f>SUM(F417:F418)</f>
        <v>292.10059999999999</v>
      </c>
      <c r="G416" s="85">
        <f>D416-F416</f>
        <v>601.89940000000001</v>
      </c>
      <c r="H416" s="26">
        <f>SUM(H417:H418)</f>
        <v>321.99709999999999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41.031</f>
        <v>41.030999999999999</v>
      </c>
      <c r="F417" s="30">
        <f>216.058</f>
        <v>216.05799999999999</v>
      </c>
      <c r="G417" s="97"/>
      <c r="H417" s="30">
        <f>237.385</f>
        <v>237.38499999999999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5.7049</f>
        <v>5.7049000000000003</v>
      </c>
      <c r="F418" s="30">
        <f>76.0426</f>
        <v>76.042599999999993</v>
      </c>
      <c r="G418" s="108"/>
      <c r="H418" s="30">
        <f>84.6121</f>
        <v>84.612099999999998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46.735900000000001</v>
      </c>
      <c r="F423" s="40">
        <f>F413+F416+F419+F422</f>
        <v>1315.8854799999999</v>
      </c>
      <c r="G423" s="41">
        <f>D423-F423</f>
        <v>1365.1145200000001</v>
      </c>
      <c r="H423" s="40">
        <f>H413+H416+H419+H422</f>
        <v>1310.39833</v>
      </c>
      <c r="I423" s="27"/>
      <c r="J423" s="130"/>
    </row>
    <row r="424" spans="1:10" ht="42" customHeight="1" x14ac:dyDescent="0.35">
      <c r="A424" s="218"/>
      <c r="B424" s="72"/>
      <c r="C424" s="292" t="s">
        <v>117</v>
      </c>
      <c r="D424" s="292"/>
      <c r="E424" s="292"/>
      <c r="F424" s="292"/>
      <c r="G424" s="292"/>
      <c r="H424" s="292"/>
      <c r="I424" s="292"/>
      <c r="J424" s="293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49&amp;R09.12.2024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2024-12-09T09:05:01Z</dcterms:modified>
</cp:coreProperties>
</file>