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almal\Downloads\"/>
    </mc:Choice>
  </mc:AlternateContent>
  <xr:revisionPtr revIDLastSave="0" documentId="13_ncr:1_{A0F32C0C-0F3E-48C1-BFC7-DBDD4627CE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423" i="1"/>
  <c r="H422" i="1"/>
  <c r="F422" i="1"/>
  <c r="G422" i="1" s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E413" i="1" s="1"/>
  <c r="E423" i="1" s="1"/>
  <c r="H414" i="1"/>
  <c r="F414" i="1"/>
  <c r="F413" i="1" s="1"/>
  <c r="E414" i="1"/>
  <c r="H413" i="1"/>
  <c r="H423" i="1" s="1"/>
  <c r="I390" i="1"/>
  <c r="H390" i="1"/>
  <c r="G390" i="1"/>
  <c r="F390" i="1"/>
  <c r="I389" i="1"/>
  <c r="H389" i="1"/>
  <c r="G389" i="1"/>
  <c r="F389" i="1"/>
  <c r="I388" i="1"/>
  <c r="I386" i="1" s="1"/>
  <c r="G388" i="1"/>
  <c r="G386" i="1" s="1"/>
  <c r="F388" i="1"/>
  <c r="I387" i="1"/>
  <c r="G387" i="1"/>
  <c r="F387" i="1"/>
  <c r="F386" i="1" s="1"/>
  <c r="I385" i="1"/>
  <c r="H385" i="1"/>
  <c r="G385" i="1"/>
  <c r="F385" i="1"/>
  <c r="I384" i="1"/>
  <c r="G384" i="1"/>
  <c r="H384" i="1" s="1"/>
  <c r="H380" i="1" s="1"/>
  <c r="F384" i="1"/>
  <c r="I383" i="1"/>
  <c r="I380" i="1" s="1"/>
  <c r="H383" i="1"/>
  <c r="G383" i="1"/>
  <c r="F383" i="1"/>
  <c r="F380" i="1" s="1"/>
  <c r="F391" i="1" s="1"/>
  <c r="I382" i="1"/>
  <c r="G382" i="1"/>
  <c r="H382" i="1" s="1"/>
  <c r="F382" i="1"/>
  <c r="I381" i="1"/>
  <c r="H381" i="1"/>
  <c r="G381" i="1"/>
  <c r="F381" i="1"/>
  <c r="G380" i="1"/>
  <c r="D380" i="1"/>
  <c r="D391" i="1" s="1"/>
  <c r="H372" i="1"/>
  <c r="F372" i="1"/>
  <c r="H354" i="1"/>
  <c r="D354" i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H350" i="1"/>
  <c r="F350" i="1"/>
  <c r="F354" i="1" s="1"/>
  <c r="E350" i="1"/>
  <c r="E354" i="1" s="1"/>
  <c r="D343" i="1"/>
  <c r="H299" i="1"/>
  <c r="D299" i="1"/>
  <c r="H298" i="1"/>
  <c r="G298" i="1"/>
  <c r="F298" i="1"/>
  <c r="E298" i="1"/>
  <c r="H297" i="1"/>
  <c r="F297" i="1"/>
  <c r="E297" i="1"/>
  <c r="H296" i="1"/>
  <c r="F296" i="1"/>
  <c r="F295" i="1" s="1"/>
  <c r="E296" i="1"/>
  <c r="H295" i="1"/>
  <c r="E295" i="1"/>
  <c r="E299" i="1" s="1"/>
  <c r="D253" i="1"/>
  <c r="H252" i="1"/>
  <c r="F252" i="1"/>
  <c r="G252" i="1" s="1"/>
  <c r="E252" i="1"/>
  <c r="H251" i="1"/>
  <c r="F251" i="1"/>
  <c r="E251" i="1"/>
  <c r="E249" i="1" s="1"/>
  <c r="E253" i="1" s="1"/>
  <c r="H250" i="1"/>
  <c r="F250" i="1"/>
  <c r="F249" i="1" s="1"/>
  <c r="E250" i="1"/>
  <c r="H249" i="1"/>
  <c r="H253" i="1" s="1"/>
  <c r="H207" i="1"/>
  <c r="F207" i="1"/>
  <c r="D207" i="1"/>
  <c r="G207" i="1" s="1"/>
  <c r="H206" i="1"/>
  <c r="F206" i="1"/>
  <c r="G206" i="1" s="1"/>
  <c r="E206" i="1"/>
  <c r="H205" i="1"/>
  <c r="G205" i="1"/>
  <c r="F205" i="1"/>
  <c r="E205" i="1"/>
  <c r="H204" i="1"/>
  <c r="F204" i="1"/>
  <c r="G204" i="1" s="1"/>
  <c r="E204" i="1"/>
  <c r="E207" i="1" s="1"/>
  <c r="E184" i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G177" i="1"/>
  <c r="F177" i="1"/>
  <c r="E177" i="1"/>
  <c r="H176" i="1"/>
  <c r="F176" i="1"/>
  <c r="E176" i="1"/>
  <c r="H175" i="1"/>
  <c r="F175" i="1"/>
  <c r="E175" i="1"/>
  <c r="D167" i="1"/>
  <c r="D169" i="1" s="1"/>
  <c r="E150" i="1"/>
  <c r="I148" i="1"/>
  <c r="G148" i="1"/>
  <c r="H148" i="1" s="1"/>
  <c r="F148" i="1"/>
  <c r="I147" i="1"/>
  <c r="G147" i="1"/>
  <c r="H147" i="1" s="1"/>
  <c r="F147" i="1"/>
  <c r="H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H139" i="1" s="1"/>
  <c r="G140" i="1"/>
  <c r="G139" i="1" s="1"/>
  <c r="G133" i="1" s="1"/>
  <c r="F140" i="1"/>
  <c r="I139" i="1"/>
  <c r="F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F133" i="1" s="1"/>
  <c r="I134" i="1"/>
  <c r="I133" i="1" s="1"/>
  <c r="G134" i="1"/>
  <c r="E134" i="1"/>
  <c r="D134" i="1"/>
  <c r="D133" i="1" s="1"/>
  <c r="D150" i="1" s="1"/>
  <c r="E133" i="1"/>
  <c r="I132" i="1"/>
  <c r="F132" i="1"/>
  <c r="I131" i="1"/>
  <c r="G131" i="1"/>
  <c r="H131" i="1" s="1"/>
  <c r="F131" i="1"/>
  <c r="I130" i="1"/>
  <c r="H130" i="1"/>
  <c r="G130" i="1"/>
  <c r="F130" i="1"/>
  <c r="I129" i="1"/>
  <c r="I128" i="1" s="1"/>
  <c r="I150" i="1" s="1"/>
  <c r="G129" i="1"/>
  <c r="G128" i="1" s="1"/>
  <c r="F129" i="1"/>
  <c r="F128" i="1"/>
  <c r="E128" i="1"/>
  <c r="D128" i="1"/>
  <c r="C126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I96" i="1" s="1"/>
  <c r="I95" i="1" s="1"/>
  <c r="G97" i="1"/>
  <c r="H97" i="1" s="1"/>
  <c r="F97" i="1"/>
  <c r="F96" i="1" s="1"/>
  <c r="F95" i="1" s="1"/>
  <c r="E96" i="1"/>
  <c r="E95" i="1" s="1"/>
  <c r="E107" i="1" s="1"/>
  <c r="D96" i="1"/>
  <c r="D95" i="1"/>
  <c r="I94" i="1"/>
  <c r="I92" i="1" s="1"/>
  <c r="I107" i="1" s="1"/>
  <c r="G94" i="1"/>
  <c r="H94" i="1" s="1"/>
  <c r="H92" i="1" s="1"/>
  <c r="F94" i="1"/>
  <c r="I93" i="1"/>
  <c r="G93" i="1"/>
  <c r="H93" i="1" s="1"/>
  <c r="F93" i="1"/>
  <c r="G92" i="1"/>
  <c r="F92" i="1"/>
  <c r="F107" i="1" s="1"/>
  <c r="E92" i="1"/>
  <c r="D92" i="1"/>
  <c r="D107" i="1" s="1"/>
  <c r="C89" i="1"/>
  <c r="H85" i="1"/>
  <c r="F85" i="1"/>
  <c r="D85" i="1"/>
  <c r="H61" i="1"/>
  <c r="I35" i="1" s="1"/>
  <c r="H60" i="1"/>
  <c r="I55" i="1"/>
  <c r="I32" i="1" s="1"/>
  <c r="I27" i="1" s="1"/>
  <c r="G55" i="1"/>
  <c r="G32" i="1" s="1"/>
  <c r="H32" i="1" s="1"/>
  <c r="F55" i="1"/>
  <c r="F32" i="1" s="1"/>
  <c r="F27" i="1" s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G35" i="1"/>
  <c r="G34" i="1" s="1"/>
  <c r="H34" i="1" s="1"/>
  <c r="F35" i="1"/>
  <c r="E35" i="1"/>
  <c r="D34" i="1"/>
  <c r="I33" i="1"/>
  <c r="H33" i="1"/>
  <c r="G33" i="1"/>
  <c r="F33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E27" i="1"/>
  <c r="D27" i="1"/>
  <c r="D26" i="1" s="1"/>
  <c r="E26" i="1"/>
  <c r="I25" i="1"/>
  <c r="H25" i="1"/>
  <c r="H23" i="1" s="1"/>
  <c r="G25" i="1"/>
  <c r="F25" i="1"/>
  <c r="I24" i="1"/>
  <c r="I23" i="1" s="1"/>
  <c r="H24" i="1"/>
  <c r="G24" i="1"/>
  <c r="G23" i="1" s="1"/>
  <c r="F24" i="1"/>
  <c r="F23" i="1" s="1"/>
  <c r="E23" i="1"/>
  <c r="E44" i="1" s="1"/>
  <c r="D23" i="1"/>
  <c r="D44" i="1" s="1"/>
  <c r="H16" i="1"/>
  <c r="F16" i="1"/>
  <c r="D16" i="1"/>
  <c r="G150" i="1" l="1"/>
  <c r="I34" i="1"/>
  <c r="I26" i="1" s="1"/>
  <c r="I44" i="1" s="1"/>
  <c r="H35" i="1"/>
  <c r="F34" i="1"/>
  <c r="F26" i="1" s="1"/>
  <c r="F44" i="1"/>
  <c r="G249" i="1"/>
  <c r="F253" i="1"/>
  <c r="G253" i="1" s="1"/>
  <c r="H391" i="1"/>
  <c r="G107" i="1"/>
  <c r="H134" i="1"/>
  <c r="H133" i="1" s="1"/>
  <c r="F299" i="1"/>
  <c r="G295" i="1"/>
  <c r="G299" i="1"/>
  <c r="G391" i="1"/>
  <c r="H386" i="1"/>
  <c r="H96" i="1"/>
  <c r="H95" i="1" s="1"/>
  <c r="H107" i="1" s="1"/>
  <c r="F150" i="1"/>
  <c r="F184" i="1"/>
  <c r="G184" i="1" s="1"/>
  <c r="G354" i="1"/>
  <c r="I391" i="1"/>
  <c r="F423" i="1"/>
  <c r="G423" i="1" s="1"/>
  <c r="G413" i="1"/>
  <c r="H26" i="1"/>
  <c r="H44" i="1" s="1"/>
  <c r="G27" i="1"/>
  <c r="G26" i="1" s="1"/>
  <c r="G44" i="1" s="1"/>
  <c r="H27" i="1"/>
  <c r="H184" i="1"/>
  <c r="G96" i="1"/>
  <c r="G95" i="1" s="1"/>
  <c r="H55" i="1"/>
  <c r="H129" i="1"/>
  <c r="H128" i="1" s="1"/>
  <c r="H150" i="1" s="1"/>
  <c r="G350" i="1"/>
  <c r="G175" i="1"/>
</calcChain>
</file>

<file path=xl/sharedStrings.xml><?xml version="1.0" encoding="utf-8"?>
<sst xmlns="http://schemas.openxmlformats.org/spreadsheetml/2006/main" count="359" uniqueCount="151">
  <si>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</si>
  <si>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</si>
  <si>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</si>
  <si>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</si>
  <si>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</si>
  <si>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</si>
  <si>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</si>
  <si>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</si>
  <si>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</si>
  <si>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</si>
  <si>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</si>
  <si>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</si>
  <si>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</si>
  <si>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</si>
  <si>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</si>
  <si>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</si>
  <si>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</si>
  <si>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</si>
  <si>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</si>
  <si>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</si>
  <si>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</si>
  <si>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</si>
  <si>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</si>
  <si>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</si>
  <si>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</si>
  <si>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</si>
  <si>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</si>
  <si>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</si>
  <si>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</si>
  <si>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</si>
  <si>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</si>
  <si>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</si>
  <si>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</si>
  <si>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</si>
  <si>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</si>
  <si>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</si>
  <si>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</si>
  <si>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</si>
  <si>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</si>
  <si>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</si>
  <si>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</si>
  <si>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</si>
  <si>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</si>
  <si>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</si>
  <si>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</si>
  <si>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</si>
  <si>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</si>
  <si>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</si>
  <si>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</si>
  <si>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</si>
  <si>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</si>
  <si>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</si>
  <si>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</si>
  <si>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</si>
  <si>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</si>
  <si>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</si>
  <si>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</si>
  <si>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</si>
  <si>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</si>
  <si>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</si>
  <si>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</si>
  <si>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</si>
  <si>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</si>
  <si>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</si>
  <si>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</si>
  <si>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</si>
  <si>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</si>
  <si>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</si>
  <si>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</si>
  <si>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</si>
  <si>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</si>
  <si>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</si>
  <si>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</si>
  <si>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</si>
  <si>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</si>
  <si>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</si>
  <si>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</si>
  <si>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</si>
  <si>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</si>
  <si>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</si>
  <si>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</si>
  <si>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</si>
  <si>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</si>
  <si>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</si>
  <si>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</si>
  <si>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</si>
  <si>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</si>
  <si>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</si>
  <si>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</si>
  <si>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</si>
  <si>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</si>
  <si>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</si>
  <si>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</si>
  <si>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</si>
  <si>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</si>
  <si>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</si>
  <si>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</si>
  <si>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</si>
  <si>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</si>
  <si>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</si>
  <si>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</si>
  <si>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</si>
  <si>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</si>
  <si>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</si>
  <si>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</si>
  <si>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</si>
  <si>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</si>
  <si>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</si>
  <si>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</si>
  <si>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</si>
  <si>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</si>
  <si>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</si>
  <si>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</si>
  <si>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</si>
  <si>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</si>
  <si>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</si>
  <si>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</si>
  <si>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</si>
  <si>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</si>
  <si>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</si>
  <si>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</si>
  <si>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</si>
  <si>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</si>
  <si>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</si>
  <si>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</si>
  <si>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</si>
  <si>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</si>
  <si>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</si>
  <si>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</si>
  <si>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</si>
  <si>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</si>
  <si>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</si>
  <si>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</si>
  <si>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</si>
  <si>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</si>
  <si>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</si>
  <si>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</si>
  <si>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r>
      <t xml:space="preserve">1 </t>
    </r>
    <r>
      <rPr>
        <sz val="9"/>
        <rFont val="Calibri"/>
        <family val="2"/>
      </rPr>
      <t xml:space="preserve">Periodekvote første periode: 3 500 tonn, periodekvote andre periode: 2 300 tonn, bifangstavsetning: 534 tonn </t>
    </r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</si>
  <si>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</si>
  <si>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</si>
  <si>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t>JUSTERTE KVOTER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</si>
  <si>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</si>
  <si>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</si>
  <si>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t>2 Registrert rekreasjonsfiske utgjør 63 tonn, men det legges til grunn at hele avsetningen tas</t>
  </si>
  <si>
    <t>4 Registrert rekreasjonsfiske utgjør 524 tonn, men det legges til grunn at hele avsetningen tas</t>
  </si>
  <si>
    <t>3 Registrert rekreasjonsfiske utgjør 902 tonn, men det legges til grunn at hele avsetningen tas</t>
  </si>
  <si>
    <t>FANGST UKE 51</t>
  </si>
  <si>
    <t>FANGST T.O.M UKE 51</t>
  </si>
  <si>
    <t>RESTKVOTER UKE 51</t>
  </si>
  <si>
    <t>FANGST T.O.M UKE 51 2023</t>
  </si>
  <si>
    <r>
      <t>3</t>
    </r>
    <r>
      <rPr>
        <sz val="9"/>
        <color indexed="8"/>
        <rFont val="Calibri"/>
        <family val="2"/>
      </rPr>
      <t xml:space="preserve"> Det er fisket 7 183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</si>
</sst>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373" zoomScale="65" zoomScaleNormal="85" zoomScaleSheetLayoutView="100" zoomScalePageLayoutView="65" workbookViewId="0">
      <selection activeCell="J391" sqref="J391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3" t="s">
        <v>118</v>
      </c>
      <c r="C2" s="304"/>
      <c r="D2" s="304"/>
      <c r="E2" s="304"/>
      <c r="F2" s="304"/>
      <c r="G2" s="304"/>
      <c r="H2" s="304"/>
      <c r="I2" s="304"/>
      <c r="J2" s="305"/>
    </row>
    <row r="3" spans="1:10" ht="14.9" customHeight="1" x14ac:dyDescent="0.3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6"/>
      <c r="C9" s="307"/>
      <c r="D9" s="307"/>
      <c r="E9" s="307"/>
      <c r="F9" s="307"/>
      <c r="G9" s="307"/>
      <c r="H9" s="307"/>
      <c r="I9" s="307"/>
      <c r="J9" s="308"/>
    </row>
    <row r="10" spans="1:10" ht="12" customHeight="1" x14ac:dyDescent="0.3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4"/>
    </row>
    <row r="12" spans="1:10" ht="14.15" customHeight="1" x14ac:dyDescent="0.35">
      <c r="A12" s="1"/>
      <c r="B12" s="254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4"/>
    </row>
    <row r="13" spans="1:10" ht="15.75" customHeight="1" x14ac:dyDescent="0.35">
      <c r="A13" s="1"/>
      <c r="B13" s="254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4"/>
    </row>
    <row r="14" spans="1:10" ht="14.25" customHeight="1" x14ac:dyDescent="0.35">
      <c r="A14" s="1"/>
      <c r="B14" s="254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4"/>
    </row>
    <row r="15" spans="1:10" ht="15.75" customHeight="1" x14ac:dyDescent="0.35">
      <c r="A15" s="1"/>
      <c r="B15" s="254"/>
      <c r="C15" s="115" t="s">
        <v>74</v>
      </c>
      <c r="D15" s="117">
        <v>62179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5" customHeight="1" x14ac:dyDescent="0.35">
      <c r="A16" s="1"/>
      <c r="B16" s="254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4"/>
    </row>
    <row r="17" spans="1:10" ht="30" customHeight="1" x14ac:dyDescent="0.35">
      <c r="A17" s="101"/>
      <c r="B17" s="24"/>
      <c r="C17" s="302" t="s">
        <v>135</v>
      </c>
      <c r="D17" s="302"/>
      <c r="E17" s="302"/>
      <c r="F17" s="302"/>
      <c r="G17" s="302"/>
      <c r="H17" s="302"/>
      <c r="I17" s="101"/>
      <c r="J17" s="157"/>
    </row>
    <row r="18" spans="1:10" ht="15" customHeight="1" x14ac:dyDescent="0.3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3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3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3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3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146</v>
      </c>
      <c r="G22" s="68" t="s">
        <v>147</v>
      </c>
      <c r="H22" s="68" t="s">
        <v>148</v>
      </c>
      <c r="I22" s="68" t="s">
        <v>149</v>
      </c>
      <c r="J22" s="280"/>
    </row>
    <row r="23" spans="1:10" ht="14.15" customHeight="1" x14ac:dyDescent="0.35">
      <c r="A23" s="1"/>
      <c r="B23" s="254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1818.5112900000001</v>
      </c>
      <c r="G23" s="28">
        <f t="shared" si="0"/>
        <v>55404.762309999998</v>
      </c>
      <c r="H23" s="11">
        <f t="shared" si="0"/>
        <v>5407.2376900000027</v>
      </c>
      <c r="I23" s="11">
        <f t="shared" si="0"/>
        <v>85458.564099999989</v>
      </c>
      <c r="J23" s="244"/>
    </row>
    <row r="24" spans="1:10" ht="14.15" customHeight="1" x14ac:dyDescent="0.35">
      <c r="A24" s="1"/>
      <c r="B24" s="254"/>
      <c r="C24" s="44" t="s">
        <v>20</v>
      </c>
      <c r="D24" s="45">
        <v>61689</v>
      </c>
      <c r="E24" s="45">
        <v>60042</v>
      </c>
      <c r="F24" s="23">
        <f>1721.27529</f>
        <v>1721.27529</v>
      </c>
      <c r="G24" s="23">
        <f>54741.99838</f>
        <v>54741.998379999997</v>
      </c>
      <c r="H24" s="23">
        <f>E24-G24</f>
        <v>5300.0016200000027</v>
      </c>
      <c r="I24" s="23">
        <f>84753.56609</f>
        <v>84753.566089999993</v>
      </c>
      <c r="J24" s="244"/>
    </row>
    <row r="25" spans="1:10" ht="14.15" customHeight="1" x14ac:dyDescent="0.35">
      <c r="A25" s="1"/>
      <c r="B25" s="254"/>
      <c r="C25" s="48" t="s">
        <v>21</v>
      </c>
      <c r="D25" s="49">
        <v>750</v>
      </c>
      <c r="E25" s="49">
        <v>770</v>
      </c>
      <c r="F25" s="171">
        <f>97.236</f>
        <v>97.236000000000004</v>
      </c>
      <c r="G25" s="23">
        <f>662.76393</f>
        <v>662.76392999999996</v>
      </c>
      <c r="H25" s="23">
        <f>E25-G25</f>
        <v>107.23607000000004</v>
      </c>
      <c r="I25" s="23">
        <f>704.99801</f>
        <v>704.99801000000002</v>
      </c>
      <c r="J25" s="244"/>
    </row>
    <row r="26" spans="1:10" ht="14.15" customHeight="1" x14ac:dyDescent="0.35">
      <c r="A26" s="1"/>
      <c r="B26" s="254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1343.30573</v>
      </c>
      <c r="G26" s="11">
        <f t="shared" si="1"/>
        <v>136144.06354</v>
      </c>
      <c r="H26" s="11">
        <f t="shared" si="1"/>
        <v>8729.936459999999</v>
      </c>
      <c r="I26" s="11">
        <f t="shared" si="1"/>
        <v>206323.75164</v>
      </c>
      <c r="J26" s="244"/>
    </row>
    <row r="27" spans="1:10" ht="15" customHeight="1" x14ac:dyDescent="0.3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903.31467999999995</v>
      </c>
      <c r="G27" s="132">
        <f t="shared" ref="G27:I27" si="2">G28+G29+G30+G31+G32</f>
        <v>108126.9562</v>
      </c>
      <c r="H27" s="132">
        <f t="shared" si="2"/>
        <v>4851.0437999999995</v>
      </c>
      <c r="I27" s="132">
        <f t="shared" si="2"/>
        <v>156530.61981</v>
      </c>
      <c r="J27" s="244"/>
    </row>
    <row r="28" spans="1:10" ht="14.15" customHeight="1" x14ac:dyDescent="0.35">
      <c r="A28" s="197"/>
      <c r="B28" s="182"/>
      <c r="C28" s="62" t="s">
        <v>24</v>
      </c>
      <c r="D28" s="63">
        <v>26791</v>
      </c>
      <c r="E28" s="63">
        <v>28630</v>
      </c>
      <c r="F28" s="203">
        <f>194.65671</f>
        <v>194.65671</v>
      </c>
      <c r="G28" s="127">
        <f>28655.65192 - G56</f>
        <v>26461.65192</v>
      </c>
      <c r="H28" s="127">
        <f t="shared" ref="H28:H40" si="3">E28-G28</f>
        <v>2168.3480799999998</v>
      </c>
      <c r="I28" s="127">
        <f>39641.5508 - H56</f>
        <v>39641.550799999997</v>
      </c>
      <c r="J28" s="65"/>
    </row>
    <row r="29" spans="1:10" ht="14.15" customHeight="1" x14ac:dyDescent="0.35">
      <c r="A29" s="197"/>
      <c r="B29" s="182"/>
      <c r="C29" s="62" t="s">
        <v>25</v>
      </c>
      <c r="D29" s="63">
        <v>28753</v>
      </c>
      <c r="E29" s="63">
        <v>29665</v>
      </c>
      <c r="F29" s="127">
        <f>253.89949</f>
        <v>253.89948999999999</v>
      </c>
      <c r="G29" s="127">
        <f>31166.76237 - G57</f>
        <v>28635.76237</v>
      </c>
      <c r="H29" s="127">
        <f t="shared" si="3"/>
        <v>1029.2376299999996</v>
      </c>
      <c r="I29" s="127">
        <f>43071.33208 - H57</f>
        <v>43071.33208</v>
      </c>
      <c r="J29" s="65"/>
    </row>
    <row r="30" spans="1:10" ht="14.15" customHeight="1" x14ac:dyDescent="0.35">
      <c r="A30" s="197"/>
      <c r="B30" s="182"/>
      <c r="C30" s="62" t="s">
        <v>26</v>
      </c>
      <c r="D30" s="63">
        <v>25789</v>
      </c>
      <c r="E30" s="63">
        <v>27244</v>
      </c>
      <c r="F30" s="127">
        <f>45.18266</f>
        <v>45.182659999999998</v>
      </c>
      <c r="G30" s="127">
        <f>27825.57824 - G58</f>
        <v>26282.578239999999</v>
      </c>
      <c r="H30" s="127">
        <f t="shared" si="3"/>
        <v>961.42176000000109</v>
      </c>
      <c r="I30" s="127">
        <f>38634.14993 - H58</f>
        <v>38634.14993</v>
      </c>
      <c r="J30" s="65"/>
    </row>
    <row r="31" spans="1:10" ht="14.15" customHeight="1" x14ac:dyDescent="0.35">
      <c r="A31" s="197"/>
      <c r="B31" s="182"/>
      <c r="C31" s="62" t="s">
        <v>27</v>
      </c>
      <c r="D31" s="63">
        <v>18937</v>
      </c>
      <c r="E31" s="63">
        <v>19339</v>
      </c>
      <c r="F31" s="127">
        <f>40.57582</f>
        <v>40.57582</v>
      </c>
      <c r="G31" s="127">
        <f>20478.96367 - G59</f>
        <v>19095.963670000001</v>
      </c>
      <c r="H31" s="127">
        <f t="shared" si="3"/>
        <v>243.036329999999</v>
      </c>
      <c r="I31" s="127">
        <f>25813.587 - H59</f>
        <v>25813.587</v>
      </c>
      <c r="J31" s="65"/>
    </row>
    <row r="32" spans="1:10" ht="14.15" customHeight="1" x14ac:dyDescent="0.35">
      <c r="A32" s="197"/>
      <c r="B32" s="182"/>
      <c r="C32" s="62" t="s">
        <v>28</v>
      </c>
      <c r="D32" s="63">
        <v>7872</v>
      </c>
      <c r="E32" s="63">
        <v>8100</v>
      </c>
      <c r="F32" s="127">
        <f>F55</f>
        <v>369</v>
      </c>
      <c r="G32" s="127">
        <f>G55</f>
        <v>7651</v>
      </c>
      <c r="H32" s="127">
        <f t="shared" si="3"/>
        <v>449</v>
      </c>
      <c r="I32" s="127">
        <f>I55</f>
        <v>9370</v>
      </c>
      <c r="J32" s="65"/>
    </row>
    <row r="33" spans="1:13" ht="14.15" customHeight="1" x14ac:dyDescent="0.35">
      <c r="A33" s="66"/>
      <c r="B33" s="53"/>
      <c r="C33" s="56" t="s">
        <v>29</v>
      </c>
      <c r="D33" s="58">
        <v>16997</v>
      </c>
      <c r="E33" s="58">
        <v>16859</v>
      </c>
      <c r="F33" s="132">
        <f>248.28813</f>
        <v>248.28813</v>
      </c>
      <c r="G33" s="132">
        <f>15130.09518</f>
        <v>15130.09518</v>
      </c>
      <c r="H33" s="132">
        <f t="shared" si="3"/>
        <v>1728.9048199999997</v>
      </c>
      <c r="I33" s="132">
        <f>22794.41716</f>
        <v>22794.417160000001</v>
      </c>
      <c r="J33" s="65"/>
    </row>
    <row r="34" spans="1:13" ht="14.15" customHeight="1" x14ac:dyDescent="0.3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191.70292000000001</v>
      </c>
      <c r="G34" s="132">
        <f>G35+G36</f>
        <v>12887.01216</v>
      </c>
      <c r="H34" s="132">
        <f t="shared" si="3"/>
        <v>2149.9878399999998</v>
      </c>
      <c r="I34" s="132">
        <f>I35+I36</f>
        <v>26998.714670000001</v>
      </c>
      <c r="J34" s="65"/>
    </row>
    <row r="35" spans="1:13" ht="14.15" customHeight="1" x14ac:dyDescent="0.3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111.70292</f>
        <v>111.70292000000001</v>
      </c>
      <c r="G35" s="132">
        <f>15838.01216 - G60 - G61</f>
        <v>11742.01216</v>
      </c>
      <c r="H35" s="127">
        <f t="shared" si="3"/>
        <v>2334.9878399999998</v>
      </c>
      <c r="I35" s="127">
        <f>25748.71467 - H60 - H61</f>
        <v>25884.714670000001</v>
      </c>
      <c r="J35" s="65"/>
    </row>
    <row r="36" spans="1:13" ht="14.15" customHeight="1" x14ac:dyDescent="0.3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80</v>
      </c>
      <c r="G36" s="71">
        <f>G60</f>
        <v>1145</v>
      </c>
      <c r="H36" s="71">
        <f t="shared" si="3"/>
        <v>-185</v>
      </c>
      <c r="I36" s="71">
        <f>I60</f>
        <v>1114</v>
      </c>
      <c r="J36" s="65"/>
    </row>
    <row r="37" spans="1:13" ht="15.75" customHeight="1" x14ac:dyDescent="0.35">
      <c r="A37" s="1"/>
      <c r="B37" s="254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348.3612</f>
        <v>348.3612</v>
      </c>
      <c r="H37" s="139">
        <f t="shared" si="3"/>
        <v>1651.6387999999999</v>
      </c>
      <c r="I37" s="139">
        <f>746.7916</f>
        <v>746.79160000000002</v>
      </c>
      <c r="J37" s="244"/>
    </row>
    <row r="38" spans="1:13" ht="14.15" customHeight="1" x14ac:dyDescent="0.35">
      <c r="A38" s="1"/>
      <c r="B38" s="254"/>
      <c r="C38" s="73" t="s">
        <v>34</v>
      </c>
      <c r="D38" s="143">
        <v>855</v>
      </c>
      <c r="E38" s="143">
        <v>855</v>
      </c>
      <c r="F38" s="98">
        <f>12.84816</f>
        <v>12.84816</v>
      </c>
      <c r="G38" s="98">
        <f>546.97352</f>
        <v>546.97352000000001</v>
      </c>
      <c r="H38" s="98">
        <f t="shared" si="3"/>
        <v>308.02647999999999</v>
      </c>
      <c r="I38" s="98">
        <f>692.74938</f>
        <v>692.74937999999997</v>
      </c>
      <c r="J38" s="244"/>
    </row>
    <row r="39" spans="1:13" ht="17.25" customHeight="1" x14ac:dyDescent="0.3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17</v>
      </c>
      <c r="G39" s="98">
        <f>G61</f>
        <v>2951</v>
      </c>
      <c r="H39" s="98">
        <f t="shared" si="3"/>
        <v>49</v>
      </c>
      <c r="I39" s="98">
        <f>I61</f>
        <v>4544</v>
      </c>
      <c r="J39" s="244"/>
    </row>
    <row r="40" spans="1:13" ht="17.25" customHeight="1" x14ac:dyDescent="0.35">
      <c r="A40" s="1"/>
      <c r="B40" s="254"/>
      <c r="C40" s="73" t="s">
        <v>36</v>
      </c>
      <c r="D40" s="143">
        <v>7000</v>
      </c>
      <c r="E40" s="143">
        <v>7000</v>
      </c>
      <c r="F40" s="98">
        <f>1.04994</f>
        <v>1.0499400000000001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35">
      <c r="A41" s="1"/>
      <c r="B41" s="254"/>
      <c r="C41" s="73" t="s">
        <v>38</v>
      </c>
      <c r="D41" s="143">
        <v>400</v>
      </c>
      <c r="E41" s="143">
        <v>400</v>
      </c>
      <c r="F41" s="98">
        <f>2.93482</f>
        <v>2.9348200000000002</v>
      </c>
      <c r="G41" s="98">
        <f>379.17055</f>
        <v>379.17054999999999</v>
      </c>
      <c r="H41" s="98">
        <f>E41-G41</f>
        <v>20.829450000000008</v>
      </c>
      <c r="I41" s="98">
        <f>377.3328</f>
        <v>377.33280000000002</v>
      </c>
      <c r="J41" s="244"/>
    </row>
    <row r="42" spans="1:13" ht="17.25" customHeight="1" x14ac:dyDescent="0.35">
      <c r="A42" s="1"/>
      <c r="B42" s="254"/>
      <c r="C42" s="73" t="s">
        <v>125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4"/>
      <c r="M42" s="225"/>
    </row>
    <row r="43" spans="1:13" ht="14.15" customHeight="1" x14ac:dyDescent="0.35">
      <c r="A43" s="1"/>
      <c r="B43" s="254"/>
      <c r="C43" s="73" t="s">
        <v>39</v>
      </c>
      <c r="D43" s="143"/>
      <c r="E43" s="139"/>
      <c r="F43" s="139">
        <f>3.35954</f>
        <v>3.35954</v>
      </c>
      <c r="G43" s="139">
        <f>173.54542</f>
        <v>173.54542000000001</v>
      </c>
      <c r="H43" s="139">
        <f t="shared" ref="H43" si="4">E43-G43</f>
        <v>-173.54542000000001</v>
      </c>
      <c r="I43" s="139">
        <f>207.81677</f>
        <v>207.81676999999999</v>
      </c>
      <c r="J43" s="244"/>
    </row>
    <row r="44" spans="1:13" ht="16.5" customHeight="1" x14ac:dyDescent="0.35">
      <c r="A44" s="1"/>
      <c r="B44" s="254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3199.0094800000002</v>
      </c>
      <c r="G44" s="76">
        <f t="shared" si="5"/>
        <v>202947.88054000001</v>
      </c>
      <c r="H44" s="76">
        <f t="shared" si="5"/>
        <v>16093.119460000002</v>
      </c>
      <c r="I44" s="76">
        <f t="shared" si="5"/>
        <v>305351.00628999993</v>
      </c>
      <c r="J44" s="244"/>
    </row>
    <row r="45" spans="1:13" ht="14.15" customHeight="1" x14ac:dyDescent="0.35">
      <c r="A45" s="101"/>
      <c r="B45" s="24"/>
      <c r="C45" s="77" t="s">
        <v>126</v>
      </c>
      <c r="D45" s="258"/>
      <c r="E45" s="258"/>
      <c r="F45" s="80"/>
      <c r="G45" s="80"/>
      <c r="H45" s="228"/>
      <c r="I45" s="228"/>
      <c r="J45" s="81"/>
    </row>
    <row r="46" spans="1:13" ht="14.15" customHeight="1" x14ac:dyDescent="0.3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5" customHeight="1" x14ac:dyDescent="0.35">
      <c r="A47" s="101"/>
      <c r="B47" s="24"/>
      <c r="C47" s="161" t="s">
        <v>145</v>
      </c>
      <c r="D47" s="258"/>
      <c r="E47" s="258"/>
      <c r="F47" s="258"/>
      <c r="G47" s="80"/>
      <c r="H47" s="178"/>
      <c r="I47" s="178"/>
      <c r="J47" s="120"/>
    </row>
    <row r="48" spans="1:13" ht="14.15" customHeight="1" x14ac:dyDescent="0.35">
      <c r="A48" s="101"/>
      <c r="B48" s="24"/>
      <c r="C48" s="161" t="s">
        <v>127</v>
      </c>
      <c r="D48" s="258"/>
      <c r="E48" s="258"/>
      <c r="F48" s="258"/>
      <c r="G48" s="258"/>
      <c r="H48" s="178"/>
      <c r="I48" s="178"/>
      <c r="J48" s="120"/>
    </row>
    <row r="49" spans="1:10" ht="14.15" customHeight="1" x14ac:dyDescent="0.3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5" customHeight="1" x14ac:dyDescent="0.3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3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3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3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35">
      <c r="A54" s="101"/>
      <c r="B54" s="24"/>
      <c r="C54" s="86" t="s">
        <v>16</v>
      </c>
      <c r="D54" s="68" t="s">
        <v>44</v>
      </c>
      <c r="E54" s="68" t="s">
        <v>139</v>
      </c>
      <c r="F54" s="68" t="s">
        <v>146</v>
      </c>
      <c r="G54" s="68" t="s">
        <v>147</v>
      </c>
      <c r="H54" s="68" t="s">
        <v>148</v>
      </c>
      <c r="I54" s="68" t="s">
        <v>149</v>
      </c>
      <c r="J54" s="244"/>
    </row>
    <row r="55" spans="1:10" ht="14.15" customHeight="1" x14ac:dyDescent="0.35">
      <c r="A55" s="101"/>
      <c r="B55" s="24"/>
      <c r="C55" s="16" t="s">
        <v>45</v>
      </c>
      <c r="D55" s="295">
        <v>7872</v>
      </c>
      <c r="E55" s="295">
        <v>8100</v>
      </c>
      <c r="F55" s="11">
        <f>F59+F58+F57+F56</f>
        <v>369</v>
      </c>
      <c r="G55" s="11">
        <f>G59+G58+G57+G56</f>
        <v>7651</v>
      </c>
      <c r="H55" s="295">
        <f>E55-G55</f>
        <v>449</v>
      </c>
      <c r="I55" s="11">
        <f>I59+I58+I57+I56</f>
        <v>9370</v>
      </c>
      <c r="J55" s="120"/>
    </row>
    <row r="56" spans="1:10" ht="14.15" customHeight="1" x14ac:dyDescent="0.35">
      <c r="A56" s="101"/>
      <c r="B56" s="24"/>
      <c r="C56" s="62" t="s">
        <v>24</v>
      </c>
      <c r="D56" s="296"/>
      <c r="E56" s="296"/>
      <c r="F56" s="127">
        <v>127</v>
      </c>
      <c r="G56" s="127">
        <v>2194</v>
      </c>
      <c r="H56" s="296"/>
      <c r="I56" s="127">
        <v>1935</v>
      </c>
      <c r="J56" s="120"/>
    </row>
    <row r="57" spans="1:10" ht="14.15" customHeight="1" x14ac:dyDescent="0.35">
      <c r="A57" s="101"/>
      <c r="B57" s="24"/>
      <c r="C57" s="62" t="s">
        <v>25</v>
      </c>
      <c r="D57" s="296"/>
      <c r="E57" s="296"/>
      <c r="F57" s="127">
        <v>166</v>
      </c>
      <c r="G57" s="127">
        <v>2531</v>
      </c>
      <c r="H57" s="296"/>
      <c r="I57" s="127">
        <v>3248</v>
      </c>
      <c r="J57" s="244"/>
    </row>
    <row r="58" spans="1:10" ht="14.15" customHeight="1" x14ac:dyDescent="0.35">
      <c r="A58" s="101"/>
      <c r="B58" s="24"/>
      <c r="C58" s="62" t="s">
        <v>26</v>
      </c>
      <c r="D58" s="296"/>
      <c r="E58" s="296"/>
      <c r="F58" s="127">
        <v>28</v>
      </c>
      <c r="G58" s="127">
        <v>1543</v>
      </c>
      <c r="H58" s="296"/>
      <c r="I58" s="127">
        <v>2778</v>
      </c>
      <c r="J58" s="120"/>
    </row>
    <row r="59" spans="1:10" ht="14.15" customHeight="1" x14ac:dyDescent="0.35">
      <c r="A59" s="101"/>
      <c r="B59" s="24"/>
      <c r="C59" s="87" t="s">
        <v>27</v>
      </c>
      <c r="D59" s="297"/>
      <c r="E59" s="297"/>
      <c r="F59" s="192">
        <v>48</v>
      </c>
      <c r="G59" s="192">
        <v>1383</v>
      </c>
      <c r="H59" s="297"/>
      <c r="I59" s="192">
        <v>1409</v>
      </c>
      <c r="J59" s="120"/>
    </row>
    <row r="60" spans="1:10" ht="14.15" customHeight="1" x14ac:dyDescent="0.35">
      <c r="A60" s="101"/>
      <c r="B60" s="24"/>
      <c r="C60" s="88" t="s">
        <v>46</v>
      </c>
      <c r="D60" s="95">
        <v>960</v>
      </c>
      <c r="E60" s="95">
        <v>960</v>
      </c>
      <c r="F60" s="95">
        <v>80</v>
      </c>
      <c r="G60" s="95">
        <v>1145</v>
      </c>
      <c r="H60" s="95">
        <f>E60-G60</f>
        <v>-185</v>
      </c>
      <c r="I60" s="95">
        <v>1114</v>
      </c>
      <c r="J60" s="244"/>
    </row>
    <row r="61" spans="1:10" ht="14.15" customHeight="1" x14ac:dyDescent="0.35">
      <c r="A61" s="101"/>
      <c r="B61" s="24"/>
      <c r="C61" s="142" t="s">
        <v>47</v>
      </c>
      <c r="D61" s="139">
        <v>3000</v>
      </c>
      <c r="E61" s="139">
        <v>3000</v>
      </c>
      <c r="F61" s="139">
        <v>17</v>
      </c>
      <c r="G61" s="139">
        <v>2951</v>
      </c>
      <c r="H61" s="139">
        <f>E61-G61</f>
        <v>49</v>
      </c>
      <c r="I61" s="139">
        <v>4544</v>
      </c>
      <c r="J61" s="120"/>
    </row>
    <row r="62" spans="1:10" ht="14.15" customHeight="1" x14ac:dyDescent="0.35">
      <c r="A62" s="101"/>
      <c r="B62" s="24"/>
      <c r="C62" s="77" t="s">
        <v>128</v>
      </c>
      <c r="D62" s="258"/>
      <c r="E62" s="258"/>
      <c r="F62" s="258"/>
      <c r="G62" s="258"/>
      <c r="H62" s="178"/>
      <c r="I62" s="178"/>
      <c r="J62" s="120"/>
    </row>
    <row r="63" spans="1:10" ht="14.15" customHeight="1" x14ac:dyDescent="0.3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3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3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35">
      <c r="B68" s="1" t="s">
        <v>113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35"/>
    <row r="77" spans="1:10" ht="204" customHeight="1" x14ac:dyDescent="0.35"/>
    <row r="78" spans="1:10" ht="17.149999999999999" customHeight="1" x14ac:dyDescent="0.3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9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3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4"/>
    </row>
    <row r="82" spans="1:10" ht="15" customHeight="1" x14ac:dyDescent="0.35">
      <c r="B82" s="254"/>
      <c r="C82" s="115" t="s">
        <v>6</v>
      </c>
      <c r="D82" s="117">
        <v>70605</v>
      </c>
      <c r="E82" s="259" t="s">
        <v>4</v>
      </c>
      <c r="F82" s="114">
        <v>26707</v>
      </c>
      <c r="G82" s="191" t="s">
        <v>5</v>
      </c>
      <c r="H82" s="114">
        <v>7843</v>
      </c>
      <c r="I82" s="178"/>
      <c r="J82" s="244"/>
    </row>
    <row r="83" spans="1:10" ht="15" customHeight="1" x14ac:dyDescent="0.35">
      <c r="B83" s="254"/>
      <c r="C83" s="115" t="s">
        <v>9</v>
      </c>
      <c r="D83" s="117">
        <v>61605</v>
      </c>
      <c r="E83" s="248" t="s">
        <v>7</v>
      </c>
      <c r="F83" s="117">
        <v>43575</v>
      </c>
      <c r="G83" s="191" t="s">
        <v>8</v>
      </c>
      <c r="H83" s="117">
        <v>32246</v>
      </c>
      <c r="I83" s="178"/>
      <c r="J83" s="244"/>
    </row>
    <row r="84" spans="1:10" ht="14.15" customHeight="1" x14ac:dyDescent="0.35">
      <c r="B84" s="254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4"/>
    </row>
    <row r="85" spans="1:10" ht="12" customHeight="1" x14ac:dyDescent="0.35">
      <c r="B85" s="254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4"/>
    </row>
    <row r="86" spans="1:10" ht="14.25" customHeight="1" x14ac:dyDescent="0.35">
      <c r="A86" s="1"/>
      <c r="B86" s="254"/>
      <c r="C86" s="101" t="s">
        <v>136</v>
      </c>
      <c r="D86" s="220"/>
      <c r="E86" s="220"/>
      <c r="F86" s="220"/>
      <c r="G86" s="220"/>
      <c r="H86" s="220"/>
      <c r="I86" s="236"/>
      <c r="J86" s="120"/>
    </row>
    <row r="87" spans="1:10" ht="6" customHeight="1" x14ac:dyDescent="0.3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5" customHeight="1" x14ac:dyDescent="0.3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3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4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3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146</v>
      </c>
      <c r="G91" s="15" t="s">
        <v>147</v>
      </c>
      <c r="H91" s="15" t="s">
        <v>148</v>
      </c>
      <c r="I91" s="15" t="s">
        <v>149</v>
      </c>
      <c r="J91" s="120"/>
    </row>
    <row r="92" spans="1:10" ht="14.15" customHeight="1" x14ac:dyDescent="0.35">
      <c r="A92" s="1"/>
      <c r="B92" s="254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265.53978999999998</v>
      </c>
      <c r="G92" s="11">
        <f t="shared" si="6"/>
        <v>25512.807579999997</v>
      </c>
      <c r="H92" s="11">
        <f t="shared" si="6"/>
        <v>448.19242000000179</v>
      </c>
      <c r="I92" s="11">
        <f t="shared" si="6"/>
        <v>45882.075420000001</v>
      </c>
      <c r="J92" s="244"/>
    </row>
    <row r="93" spans="1:10" ht="15" customHeight="1" x14ac:dyDescent="0.35">
      <c r="A93" s="1"/>
      <c r="B93" s="254"/>
      <c r="C93" s="44" t="s">
        <v>20</v>
      </c>
      <c r="D93" s="45">
        <v>25957</v>
      </c>
      <c r="E93" s="45">
        <v>25136</v>
      </c>
      <c r="F93" s="23">
        <f>259.18379</f>
        <v>259.18378999999999</v>
      </c>
      <c r="G93" s="23">
        <f>24698.99143</f>
        <v>24698.991429999998</v>
      </c>
      <c r="H93" s="23">
        <f>E93-G93</f>
        <v>437.00857000000178</v>
      </c>
      <c r="I93" s="23">
        <f>45195.73193</f>
        <v>45195.731930000002</v>
      </c>
      <c r="J93" s="244"/>
    </row>
    <row r="94" spans="1:10" ht="14.15" customHeight="1" x14ac:dyDescent="0.35">
      <c r="A94" s="1"/>
      <c r="B94" s="254"/>
      <c r="C94" s="64" t="s">
        <v>21</v>
      </c>
      <c r="D94" s="49">
        <v>750</v>
      </c>
      <c r="E94" s="49">
        <v>825</v>
      </c>
      <c r="F94" s="50">
        <f>6.356</f>
        <v>6.3559999999999999</v>
      </c>
      <c r="G94" s="50">
        <f>813.81615</f>
        <v>813.81614999999999</v>
      </c>
      <c r="H94" s="50">
        <f>E94-G94</f>
        <v>11.183850000000007</v>
      </c>
      <c r="I94" s="50">
        <f>686.34349</f>
        <v>686.34348999999997</v>
      </c>
      <c r="J94" s="244"/>
    </row>
    <row r="95" spans="1:10" ht="15.75" customHeight="1" x14ac:dyDescent="0.3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248.22879</v>
      </c>
      <c r="G95" s="11">
        <f t="shared" si="7"/>
        <v>44631.745320000002</v>
      </c>
      <c r="H95" s="11">
        <f t="shared" si="7"/>
        <v>4362.25468</v>
      </c>
      <c r="I95" s="11">
        <f t="shared" si="7"/>
        <v>43443.739880000001</v>
      </c>
      <c r="J95" s="244"/>
    </row>
    <row r="96" spans="1:10" ht="14.15" customHeight="1" x14ac:dyDescent="0.3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195.54664</v>
      </c>
      <c r="G96" s="132">
        <f t="shared" si="8"/>
        <v>34952.611670000006</v>
      </c>
      <c r="H96" s="132">
        <f t="shared" si="8"/>
        <v>2541.3883299999998</v>
      </c>
      <c r="I96" s="132">
        <f t="shared" si="8"/>
        <v>27362.768529999998</v>
      </c>
      <c r="J96" s="244"/>
    </row>
    <row r="97" spans="1:10" ht="14.15" customHeight="1" x14ac:dyDescent="0.35">
      <c r="A97" s="197"/>
      <c r="B97" s="182"/>
      <c r="C97" s="62" t="s">
        <v>24</v>
      </c>
      <c r="D97" s="63">
        <v>8940</v>
      </c>
      <c r="E97" s="63">
        <v>10015</v>
      </c>
      <c r="F97" s="127">
        <f>75.32489</f>
        <v>75.324889999999996</v>
      </c>
      <c r="G97" s="127">
        <f>6328.50147</f>
        <v>6328.5014700000002</v>
      </c>
      <c r="H97" s="127">
        <f t="shared" ref="H97:H104" si="9">E97-G97</f>
        <v>3686.4985299999998</v>
      </c>
      <c r="I97" s="127">
        <f>5441.10928</f>
        <v>5441.1092799999997</v>
      </c>
      <c r="J97" s="244"/>
    </row>
    <row r="98" spans="1:10" ht="14.15" customHeight="1" x14ac:dyDescent="0.35">
      <c r="A98" s="197"/>
      <c r="B98" s="182"/>
      <c r="C98" s="62" t="s">
        <v>51</v>
      </c>
      <c r="D98" s="63">
        <v>9469</v>
      </c>
      <c r="E98" s="63">
        <v>10614</v>
      </c>
      <c r="F98" s="127">
        <f>89.72131</f>
        <v>89.721310000000003</v>
      </c>
      <c r="G98" s="127">
        <f>11065.12495</f>
        <v>11065.124949999999</v>
      </c>
      <c r="H98" s="127">
        <f t="shared" si="9"/>
        <v>-451.12494999999944</v>
      </c>
      <c r="I98" s="127">
        <f>8976.65159</f>
        <v>8976.6515899999995</v>
      </c>
      <c r="J98" s="244"/>
    </row>
    <row r="99" spans="1:10" ht="14.15" customHeight="1" x14ac:dyDescent="0.35">
      <c r="A99" s="197"/>
      <c r="B99" s="182"/>
      <c r="C99" s="62" t="s">
        <v>52</v>
      </c>
      <c r="D99" s="63">
        <v>9029</v>
      </c>
      <c r="E99" s="63">
        <v>10112</v>
      </c>
      <c r="F99" s="127">
        <f>22.52554</f>
        <v>22.525539999999999</v>
      </c>
      <c r="G99" s="127">
        <f>10439.10388</f>
        <v>10439.103880000001</v>
      </c>
      <c r="H99" s="127">
        <f t="shared" si="9"/>
        <v>-327.10388000000057</v>
      </c>
      <c r="I99" s="127">
        <f>7542.24901</f>
        <v>7542.2490100000005</v>
      </c>
      <c r="J99" s="244"/>
    </row>
    <row r="100" spans="1:10" ht="14.15" customHeight="1" x14ac:dyDescent="0.35">
      <c r="A100" s="197"/>
      <c r="B100" s="182"/>
      <c r="C100" s="62" t="s">
        <v>27</v>
      </c>
      <c r="D100" s="63">
        <v>6030</v>
      </c>
      <c r="E100" s="63">
        <v>6753</v>
      </c>
      <c r="F100" s="127">
        <f>7.9749</f>
        <v>7.9748999999999999</v>
      </c>
      <c r="G100" s="127">
        <f>7119.88137</f>
        <v>7119.8813700000001</v>
      </c>
      <c r="H100" s="127">
        <f t="shared" si="9"/>
        <v>-366.88137000000006</v>
      </c>
      <c r="I100" s="127">
        <f>5402.75865</f>
        <v>5402.7586499999998</v>
      </c>
      <c r="J100" s="244"/>
    </row>
    <row r="101" spans="1:10" ht="14.15" customHeight="1" x14ac:dyDescent="0.35">
      <c r="A101" s="197"/>
      <c r="B101" s="182"/>
      <c r="C101" s="56" t="s">
        <v>53</v>
      </c>
      <c r="D101" s="58">
        <v>7843</v>
      </c>
      <c r="E101" s="58">
        <v>7596</v>
      </c>
      <c r="F101" s="132">
        <f>1.47308</f>
        <v>1.4730799999999999</v>
      </c>
      <c r="G101" s="132">
        <f>6785.61378</f>
        <v>6785.6137799999997</v>
      </c>
      <c r="H101" s="132">
        <f t="shared" si="9"/>
        <v>810.38622000000032</v>
      </c>
      <c r="I101" s="132">
        <f>13331.63505</f>
        <v>13331.635050000001</v>
      </c>
      <c r="J101" s="244"/>
    </row>
    <row r="102" spans="1:10" ht="15.75" customHeight="1" x14ac:dyDescent="0.35">
      <c r="A102" s="1"/>
      <c r="B102" s="53"/>
      <c r="C102" s="38" t="s">
        <v>11</v>
      </c>
      <c r="D102" s="61">
        <v>3486</v>
      </c>
      <c r="E102" s="61">
        <v>3904</v>
      </c>
      <c r="F102" s="75">
        <f>51.20907</f>
        <v>51.209069999999997</v>
      </c>
      <c r="G102" s="75">
        <f>2893.51987</f>
        <v>2893.5198700000001</v>
      </c>
      <c r="H102" s="75">
        <f t="shared" si="9"/>
        <v>1010.4801299999999</v>
      </c>
      <c r="I102" s="75">
        <f>2749.3363</f>
        <v>2749.3362999999999</v>
      </c>
      <c r="J102" s="244"/>
    </row>
    <row r="103" spans="1:10" ht="15.75" customHeight="1" x14ac:dyDescent="0.35">
      <c r="A103" s="1"/>
      <c r="B103" s="53"/>
      <c r="C103" s="73" t="s">
        <v>34</v>
      </c>
      <c r="D103" s="89">
        <v>319</v>
      </c>
      <c r="E103" s="89">
        <v>319</v>
      </c>
      <c r="F103" s="98">
        <f>0</f>
        <v>0</v>
      </c>
      <c r="G103" s="98">
        <f>39.06244</f>
        <v>39.062440000000002</v>
      </c>
      <c r="H103" s="98">
        <f t="shared" si="9"/>
        <v>279.93756000000002</v>
      </c>
      <c r="I103" s="98">
        <f>17.73131</f>
        <v>17.731310000000001</v>
      </c>
      <c r="J103" s="244"/>
    </row>
    <row r="104" spans="1:10" ht="18" customHeight="1" x14ac:dyDescent="0.35">
      <c r="A104" s="1"/>
      <c r="B104" s="254"/>
      <c r="C104" s="73" t="s">
        <v>54</v>
      </c>
      <c r="D104" s="143">
        <v>300</v>
      </c>
      <c r="E104" s="143">
        <v>300</v>
      </c>
      <c r="F104" s="139">
        <f>0.01472</f>
        <v>1.472E-2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35">
      <c r="A105" s="1"/>
      <c r="B105" s="254"/>
      <c r="C105" s="93" t="s">
        <v>38</v>
      </c>
      <c r="D105" s="143">
        <v>50</v>
      </c>
      <c r="E105" s="143">
        <v>50</v>
      </c>
      <c r="F105" s="98">
        <f>0.42606</f>
        <v>0.42605999999999999</v>
      </c>
      <c r="G105" s="98">
        <f>57.72846</f>
        <v>57.728459999999998</v>
      </c>
      <c r="H105" s="139">
        <f>E105-G105</f>
        <v>-7.7284599999999983</v>
      </c>
      <c r="I105" s="98">
        <f>23.39506</f>
        <v>23.395060000000001</v>
      </c>
      <c r="J105" s="244"/>
    </row>
    <row r="106" spans="1:10" ht="18" customHeight="1" x14ac:dyDescent="0.35">
      <c r="A106" s="1"/>
      <c r="B106" s="254"/>
      <c r="C106" s="93" t="s">
        <v>55</v>
      </c>
      <c r="D106" s="143"/>
      <c r="E106" s="139"/>
      <c r="F106" s="139">
        <f>3.65896</f>
        <v>3.65896</v>
      </c>
      <c r="G106" s="139">
        <f>172.91536</f>
        <v>172.91535999999999</v>
      </c>
      <c r="H106" s="139">
        <f t="shared" ref="H106" si="10">E106-G106</f>
        <v>-172.91535999999999</v>
      </c>
      <c r="I106" s="139">
        <f>105.50906</f>
        <v>105.50906000000001</v>
      </c>
      <c r="J106" s="244"/>
    </row>
    <row r="107" spans="1:10" ht="16.5" customHeight="1" x14ac:dyDescent="0.35">
      <c r="A107" s="1"/>
      <c r="B107" s="254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517.86831999999993</v>
      </c>
      <c r="G107" s="76">
        <f t="shared" si="12"/>
        <v>70714.259159999987</v>
      </c>
      <c r="H107" s="76">
        <f t="shared" si="12"/>
        <v>4909.7408400000022</v>
      </c>
      <c r="I107" s="76">
        <f t="shared" si="12"/>
        <v>89772.450729999997</v>
      </c>
      <c r="J107" s="244"/>
    </row>
    <row r="108" spans="1:10" ht="13.5" customHeight="1" x14ac:dyDescent="0.35">
      <c r="A108" s="1"/>
      <c r="B108" s="254"/>
      <c r="C108" s="77" t="s">
        <v>129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35">
      <c r="A109" s="1"/>
      <c r="B109" s="24"/>
      <c r="C109" s="161" t="s">
        <v>143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35">
      <c r="A110" s="1"/>
      <c r="B110" s="24"/>
      <c r="C110" s="161" t="s">
        <v>130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3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3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35">
      <c r="A113" s="1"/>
      <c r="B113" s="101"/>
      <c r="C113" s="1" t="s">
        <v>113</v>
      </c>
      <c r="D113" s="228"/>
      <c r="E113" s="228"/>
      <c r="F113" s="228"/>
      <c r="G113" s="228"/>
      <c r="H113" s="228"/>
      <c r="I113" s="101"/>
      <c r="J113" s="101" t="s">
        <v>113</v>
      </c>
    </row>
    <row r="114" spans="1:10" ht="14.25" customHeight="1" x14ac:dyDescent="0.35">
      <c r="A114" s="1"/>
      <c r="B114" s="101"/>
      <c r="C114" s="101" t="s">
        <v>113</v>
      </c>
      <c r="D114" s="101" t="s">
        <v>113</v>
      </c>
      <c r="E114" s="101"/>
      <c r="F114" s="101"/>
      <c r="G114" s="101"/>
      <c r="H114" s="101"/>
      <c r="I114" s="101"/>
      <c r="J114" s="101" t="s">
        <v>113</v>
      </c>
    </row>
    <row r="115" spans="1:10" ht="17.149999999999999" customHeight="1" x14ac:dyDescent="0.3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3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5" customHeight="1" x14ac:dyDescent="0.3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3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5" customHeight="1" x14ac:dyDescent="0.35">
      <c r="A119" s="1"/>
      <c r="B119" s="254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4"/>
    </row>
    <row r="120" spans="1:10" ht="14.15" customHeight="1" x14ac:dyDescent="0.35">
      <c r="A120" s="1"/>
      <c r="B120" s="254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4"/>
    </row>
    <row r="121" spans="1:10" ht="14.15" customHeight="1" x14ac:dyDescent="0.35">
      <c r="A121" s="1"/>
      <c r="B121" s="254"/>
      <c r="C121" s="248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4"/>
    </row>
    <row r="122" spans="1:10" ht="14.15" customHeight="1" x14ac:dyDescent="0.3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4"/>
    </row>
    <row r="123" spans="1:10" ht="12" customHeight="1" x14ac:dyDescent="0.35">
      <c r="A123" s="1"/>
      <c r="B123" s="254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4"/>
    </row>
    <row r="124" spans="1:10" ht="12" customHeight="1" x14ac:dyDescent="0.35">
      <c r="A124" s="101"/>
      <c r="B124" s="24"/>
      <c r="C124" s="101" t="s">
        <v>114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3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3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146</v>
      </c>
      <c r="G127" s="15" t="s">
        <v>147</v>
      </c>
      <c r="H127" s="15" t="s">
        <v>148</v>
      </c>
      <c r="I127" s="15" t="s">
        <v>149</v>
      </c>
      <c r="J127" s="280"/>
    </row>
    <row r="128" spans="1:10" ht="14.15" customHeight="1" x14ac:dyDescent="0.35">
      <c r="A128" s="1"/>
      <c r="B128" s="254"/>
      <c r="C128" s="16" t="s">
        <v>62</v>
      </c>
      <c r="D128" s="28">
        <f>D129+D130+D131</f>
        <v>75860</v>
      </c>
      <c r="E128" s="28">
        <f>E129+E130+E131</f>
        <v>72627</v>
      </c>
      <c r="F128" s="11">
        <f t="shared" ref="F128:I128" si="13">F129+F130+F131</f>
        <v>3159.9223300000003</v>
      </c>
      <c r="G128" s="11">
        <f t="shared" si="13"/>
        <v>67753.309970000002</v>
      </c>
      <c r="H128" s="11">
        <f t="shared" si="13"/>
        <v>4873.6900299999961</v>
      </c>
      <c r="I128" s="11">
        <f t="shared" si="13"/>
        <v>73662.298149999988</v>
      </c>
      <c r="J128" s="244"/>
    </row>
    <row r="129" spans="1:10" ht="14.15" customHeight="1" x14ac:dyDescent="0.35">
      <c r="A129" s="1"/>
      <c r="B129" s="254"/>
      <c r="C129" s="44" t="s">
        <v>20</v>
      </c>
      <c r="D129" s="45">
        <v>60688</v>
      </c>
      <c r="E129" s="45">
        <v>57854</v>
      </c>
      <c r="F129" s="23">
        <f>2945.18728</f>
        <v>2945.1872800000001</v>
      </c>
      <c r="G129" s="23">
        <f>60536.00994</f>
        <v>60536.009940000004</v>
      </c>
      <c r="H129" s="23">
        <f>E129-G129</f>
        <v>-2682.0099400000036</v>
      </c>
      <c r="I129" s="23">
        <f>63095.11431</f>
        <v>63095.114309999997</v>
      </c>
      <c r="J129" s="244"/>
    </row>
    <row r="130" spans="1:10" ht="15" customHeight="1" x14ac:dyDescent="0.35">
      <c r="A130" s="1"/>
      <c r="B130" s="254"/>
      <c r="C130" s="44" t="s">
        <v>21</v>
      </c>
      <c r="D130" s="45">
        <v>14672</v>
      </c>
      <c r="E130" s="45">
        <v>14273</v>
      </c>
      <c r="F130" s="23">
        <f>214.73505</f>
        <v>214.73505</v>
      </c>
      <c r="G130" s="23">
        <f>7140.78588</f>
        <v>7140.7858800000004</v>
      </c>
      <c r="H130" s="23">
        <f>E130-G130</f>
        <v>7132.2141199999996</v>
      </c>
      <c r="I130" s="23">
        <f>10411.89779</f>
        <v>10411.897790000001</v>
      </c>
      <c r="J130" s="244"/>
    </row>
    <row r="131" spans="1:10" ht="13.5" customHeight="1" x14ac:dyDescent="0.35">
      <c r="A131" s="1"/>
      <c r="B131" s="254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76.51415</f>
        <v>76.514150000000001</v>
      </c>
      <c r="H131" s="55">
        <f>E131-G131</f>
        <v>423.48585000000003</v>
      </c>
      <c r="I131" s="23">
        <f>155.28605</f>
        <v>155.28604999999999</v>
      </c>
      <c r="J131" s="244"/>
    </row>
    <row r="132" spans="1:10" ht="14.25" customHeight="1" x14ac:dyDescent="0.35">
      <c r="A132" s="67"/>
      <c r="B132" s="78"/>
      <c r="C132" s="88" t="s">
        <v>64</v>
      </c>
      <c r="D132" s="91">
        <v>51257</v>
      </c>
      <c r="E132" s="91">
        <v>52483</v>
      </c>
      <c r="F132" s="95">
        <f>0.064</f>
        <v>6.4000000000000001E-2</v>
      </c>
      <c r="G132" s="95">
        <f>16681.3968+7183.0032</f>
        <v>23864.399999999998</v>
      </c>
      <c r="H132" s="95">
        <f>E132-G132</f>
        <v>28618.600000000002</v>
      </c>
      <c r="I132" s="95">
        <f>39013.89018</f>
        <v>39013.890180000002</v>
      </c>
      <c r="J132" s="116"/>
    </row>
    <row r="133" spans="1:10" ht="15.75" customHeight="1" x14ac:dyDescent="0.35">
      <c r="A133" s="1"/>
      <c r="B133" s="254"/>
      <c r="C133" s="142" t="s">
        <v>22</v>
      </c>
      <c r="D133" s="143">
        <f>D134+D139+D142</f>
        <v>79534</v>
      </c>
      <c r="E133" s="143">
        <f>E134+E139+E142</f>
        <v>80329</v>
      </c>
      <c r="F133" s="94">
        <f>F134+F139+F142</f>
        <v>2422.7890799999996</v>
      </c>
      <c r="G133" s="94">
        <f t="shared" ref="G133" si="14">G134+G139+G142</f>
        <v>73870.038770000014</v>
      </c>
      <c r="H133" s="94">
        <f>H134+H139+H142</f>
        <v>6458.9612299999953</v>
      </c>
      <c r="I133" s="94">
        <f>I134+I139+I142</f>
        <v>87283.375139999989</v>
      </c>
      <c r="J133" s="120"/>
    </row>
    <row r="134" spans="1:10" ht="14.15" customHeight="1" x14ac:dyDescent="0.3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59251</v>
      </c>
      <c r="F134" s="125">
        <f>F135+F136+F137+F138</f>
        <v>1384.6748399999999</v>
      </c>
      <c r="G134" s="125">
        <f>G135+G136+G138+G137</f>
        <v>56237.43637000001</v>
      </c>
      <c r="H134" s="125">
        <f>H135+H136+H137+H138</f>
        <v>3013.5636299999951</v>
      </c>
      <c r="I134" s="125">
        <f>I135+I136+I137+I138</f>
        <v>69323.108139999997</v>
      </c>
      <c r="J134" s="280"/>
    </row>
    <row r="135" spans="1:10" ht="14.15" customHeight="1" x14ac:dyDescent="0.35">
      <c r="A135" s="197"/>
      <c r="B135" s="126"/>
      <c r="C135" s="62" t="s">
        <v>24</v>
      </c>
      <c r="D135" s="63">
        <v>15960</v>
      </c>
      <c r="E135" s="63">
        <v>17770</v>
      </c>
      <c r="F135" s="127">
        <f>114.79443</f>
        <v>114.79443000000001</v>
      </c>
      <c r="G135" s="127">
        <v>12506.33288</v>
      </c>
      <c r="H135" s="127">
        <f>E135-G135</f>
        <v>5263.6671200000001</v>
      </c>
      <c r="I135" s="127">
        <f>12756.00537</f>
        <v>12756.005370000001</v>
      </c>
      <c r="J135" s="128"/>
    </row>
    <row r="136" spans="1:10" ht="14.15" customHeight="1" x14ac:dyDescent="0.35">
      <c r="A136" s="197"/>
      <c r="B136" s="182"/>
      <c r="C136" s="62" t="s">
        <v>51</v>
      </c>
      <c r="D136" s="63">
        <v>16404</v>
      </c>
      <c r="E136" s="63">
        <v>14935</v>
      </c>
      <c r="F136" s="127">
        <f>384.99804</f>
        <v>384.99804</v>
      </c>
      <c r="G136" s="127">
        <v>16113.369695000001</v>
      </c>
      <c r="H136" s="127">
        <f>E136-G136</f>
        <v>-1178.3696950000012</v>
      </c>
      <c r="I136" s="127">
        <f>19270.60392</f>
        <v>19270.603920000001</v>
      </c>
      <c r="J136" s="129"/>
    </row>
    <row r="137" spans="1:10" ht="14.15" customHeight="1" x14ac:dyDescent="0.35">
      <c r="A137" s="197"/>
      <c r="B137" s="182"/>
      <c r="C137" s="62" t="s">
        <v>52</v>
      </c>
      <c r="D137" s="63">
        <v>14385</v>
      </c>
      <c r="E137" s="63">
        <v>13047</v>
      </c>
      <c r="F137" s="127">
        <f>738.96697</f>
        <v>738.96696999999995</v>
      </c>
      <c r="G137" s="127">
        <v>14733.145865000002</v>
      </c>
      <c r="H137" s="127">
        <f>E137-G137</f>
        <v>-1686.1458650000022</v>
      </c>
      <c r="I137" s="127">
        <f>20467.82146</f>
        <v>20467.821459999999</v>
      </c>
      <c r="J137" s="129"/>
    </row>
    <row r="138" spans="1:10" ht="14.15" customHeight="1" x14ac:dyDescent="0.35">
      <c r="A138" s="197"/>
      <c r="B138" s="182"/>
      <c r="C138" s="62" t="s">
        <v>27</v>
      </c>
      <c r="D138" s="63">
        <v>13308</v>
      </c>
      <c r="E138" s="63">
        <v>13499</v>
      </c>
      <c r="F138" s="127">
        <f>145.9154</f>
        <v>145.91540000000001</v>
      </c>
      <c r="G138" s="127">
        <v>12884.587930000002</v>
      </c>
      <c r="H138" s="127">
        <f>E138-G138</f>
        <v>614.41206999999849</v>
      </c>
      <c r="I138" s="127">
        <f>16828.67739</f>
        <v>16828.677390000001</v>
      </c>
      <c r="J138" s="129"/>
    </row>
    <row r="139" spans="1:10" ht="14.15" customHeight="1" x14ac:dyDescent="0.35">
      <c r="A139" s="66"/>
      <c r="B139" s="53"/>
      <c r="C139" s="56" t="s">
        <v>29</v>
      </c>
      <c r="D139" s="58">
        <f>D140+D141</f>
        <v>8570</v>
      </c>
      <c r="E139" s="58">
        <f>E140+E141</f>
        <v>8925</v>
      </c>
      <c r="F139" s="132">
        <f>SUM(F140:F141)</f>
        <v>997.27805999999998</v>
      </c>
      <c r="G139" s="132">
        <f>SUM(G140:G141)</f>
        <v>10629.32079</v>
      </c>
      <c r="H139" s="132">
        <f>H140+H141</f>
        <v>-1704.3207899999995</v>
      </c>
      <c r="I139" s="132">
        <f>SUM(I140:I141)</f>
        <v>9005.5887899999998</v>
      </c>
      <c r="J139" s="133"/>
    </row>
    <row r="140" spans="1:10" ht="14.15" customHeight="1" x14ac:dyDescent="0.35">
      <c r="A140" s="1"/>
      <c r="B140" s="254"/>
      <c r="C140" s="62" t="s">
        <v>66</v>
      </c>
      <c r="D140" s="63">
        <v>8070</v>
      </c>
      <c r="E140" s="63">
        <v>8425</v>
      </c>
      <c r="F140" s="127">
        <f>989.97966</f>
        <v>989.97965999999997</v>
      </c>
      <c r="G140" s="127">
        <f>10146.02911</f>
        <v>10146.029109999999</v>
      </c>
      <c r="H140" s="127">
        <f t="shared" ref="H140:H148" si="15">E140-G140</f>
        <v>-1721.0291099999995</v>
      </c>
      <c r="I140" s="127">
        <f>8717.23783</f>
        <v>8717.23783</v>
      </c>
      <c r="J140" s="120"/>
    </row>
    <row r="141" spans="1:10" ht="15" customHeight="1" x14ac:dyDescent="0.35">
      <c r="A141" s="1"/>
      <c r="B141" s="53"/>
      <c r="C141" s="62" t="s">
        <v>67</v>
      </c>
      <c r="D141" s="63">
        <v>500</v>
      </c>
      <c r="E141" s="63">
        <v>500</v>
      </c>
      <c r="F141" s="127">
        <f>7.2984</f>
        <v>7.2984</v>
      </c>
      <c r="G141" s="127">
        <f>483.29168</f>
        <v>483.29167999999999</v>
      </c>
      <c r="H141" s="127">
        <f t="shared" si="15"/>
        <v>16.708320000000015</v>
      </c>
      <c r="I141" s="127">
        <f>288.35096</f>
        <v>288.35095999999999</v>
      </c>
      <c r="J141" s="134"/>
    </row>
    <row r="142" spans="1:10" ht="15.75" customHeight="1" x14ac:dyDescent="0.35">
      <c r="A142" s="1"/>
      <c r="B142" s="254"/>
      <c r="C142" s="38" t="s">
        <v>11</v>
      </c>
      <c r="D142" s="61">
        <v>10907</v>
      </c>
      <c r="E142" s="61">
        <v>12153</v>
      </c>
      <c r="F142" s="75">
        <f>40.83618</f>
        <v>40.836179999999999</v>
      </c>
      <c r="G142" s="75">
        <f>7003.28161</f>
        <v>7003.28161</v>
      </c>
      <c r="H142" s="75">
        <f t="shared" si="15"/>
        <v>5149.71839</v>
      </c>
      <c r="I142" s="75">
        <f>8954.67821</f>
        <v>8954.67821</v>
      </c>
      <c r="J142" s="120"/>
    </row>
    <row r="143" spans="1:10" ht="15.75" customHeight="1" x14ac:dyDescent="0.35">
      <c r="A143" s="1"/>
      <c r="B143" s="254"/>
      <c r="C143" s="142" t="s">
        <v>34</v>
      </c>
      <c r="D143" s="143">
        <v>146</v>
      </c>
      <c r="E143" s="143">
        <v>146</v>
      </c>
      <c r="F143" s="139">
        <f>0.85923</f>
        <v>0.85923000000000005</v>
      </c>
      <c r="G143" s="139">
        <f>17.64483</f>
        <v>17.644829999999999</v>
      </c>
      <c r="H143" s="139">
        <f t="shared" si="15"/>
        <v>128.35516999999999</v>
      </c>
      <c r="I143" s="139">
        <f>34.62313</f>
        <v>34.623130000000003</v>
      </c>
      <c r="J143" s="120"/>
    </row>
    <row r="144" spans="1:10" ht="15.75" customHeight="1" x14ac:dyDescent="0.35">
      <c r="A144" s="1"/>
      <c r="B144" s="254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256.036</f>
        <v>256.036</v>
      </c>
      <c r="H144" s="98">
        <f t="shared" si="15"/>
        <v>-6.0360000000000014</v>
      </c>
      <c r="I144" s="98">
        <f>262.581</f>
        <v>262.58100000000002</v>
      </c>
      <c r="J144" s="120"/>
    </row>
    <row r="145" spans="1:10" ht="18" customHeight="1" x14ac:dyDescent="0.35">
      <c r="A145" s="1"/>
      <c r="B145" s="254"/>
      <c r="C145" s="140" t="s">
        <v>69</v>
      </c>
      <c r="D145" s="143">
        <v>2000</v>
      </c>
      <c r="E145" s="143">
        <v>2000</v>
      </c>
      <c r="F145" s="139">
        <f>0.1512</f>
        <v>0.1512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3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35">
      <c r="A147" s="1"/>
      <c r="B147" s="254"/>
      <c r="C147" s="142" t="s">
        <v>70</v>
      </c>
      <c r="D147" s="143">
        <v>276</v>
      </c>
      <c r="E147" s="143">
        <v>276</v>
      </c>
      <c r="F147" s="98">
        <f>5.1768</f>
        <v>5.1768000000000001</v>
      </c>
      <c r="G147" s="98">
        <f>92.62376</f>
        <v>92.623760000000004</v>
      </c>
      <c r="H147" s="139">
        <f t="shared" si="15"/>
        <v>183.37624</v>
      </c>
      <c r="I147" s="98">
        <f>52.27501</f>
        <v>52.275010000000002</v>
      </c>
      <c r="J147" s="120"/>
    </row>
    <row r="148" spans="1:10" ht="15" customHeight="1" x14ac:dyDescent="0.35">
      <c r="A148" s="1"/>
      <c r="B148" s="254"/>
      <c r="C148" s="142" t="s">
        <v>39</v>
      </c>
      <c r="D148" s="145"/>
      <c r="E148" s="143"/>
      <c r="F148" s="139">
        <f>1.513</f>
        <v>1.5129999999999999</v>
      </c>
      <c r="G148" s="139">
        <f>300.41424</f>
        <v>300.41424000000001</v>
      </c>
      <c r="H148" s="139">
        <f t="shared" si="15"/>
        <v>-300.41424000000001</v>
      </c>
      <c r="I148" s="139">
        <f>627.82721</f>
        <v>627.82721000000004</v>
      </c>
      <c r="J148" s="120"/>
    </row>
    <row r="149" spans="1:10" ht="0" hidden="1" customHeight="1" x14ac:dyDescent="0.3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3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208111</v>
      </c>
      <c r="F150" s="76">
        <f>F128+F132+F133+F143+F144+F145+F146+F147+F148</f>
        <v>5590.4756400000006</v>
      </c>
      <c r="G150" s="76">
        <f>G128+G132+G133+G143+G144+G145+G146+G147+G148</f>
        <v>168154.46757000001</v>
      </c>
      <c r="H150" s="76">
        <f>H128+H132+H133+H143+H144+H145+H146+H147+H148</f>
        <v>39956.532429999992</v>
      </c>
      <c r="I150" s="76">
        <f>I128+I132+I133+I143+I144+I145+I146+I147+I148</f>
        <v>202936.86981999999</v>
      </c>
      <c r="J150" s="160"/>
    </row>
    <row r="151" spans="1:10" ht="14.25" customHeight="1" x14ac:dyDescent="0.3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35">
      <c r="A152" s="156"/>
      <c r="B152" s="52"/>
      <c r="C152" s="101" t="s">
        <v>131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3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35">
      <c r="A154" s="156"/>
      <c r="B154" s="52"/>
      <c r="C154" s="77" t="s">
        <v>144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3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35">
      <c r="A156" s="156"/>
      <c r="B156" s="52"/>
      <c r="C156" s="77" t="s">
        <v>132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3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3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3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3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3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35">
      <c r="A162" s="1" t="s">
        <v>113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113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5" customHeight="1" x14ac:dyDescent="0.35">
      <c r="A165" s="1" t="s">
        <v>113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5" customHeight="1" x14ac:dyDescent="0.35">
      <c r="A166" s="1"/>
      <c r="B166" s="254"/>
      <c r="C166" s="177" t="s">
        <v>6</v>
      </c>
      <c r="D166" s="189">
        <v>10823</v>
      </c>
      <c r="E166" s="281"/>
      <c r="F166" s="281"/>
      <c r="G166" s="281"/>
      <c r="H166" s="1"/>
      <c r="I166" s="1"/>
      <c r="J166" s="120"/>
    </row>
    <row r="167" spans="1:10" ht="14.15" customHeight="1" x14ac:dyDescent="0.35">
      <c r="A167" s="1"/>
      <c r="B167" s="254"/>
      <c r="C167" s="177" t="s">
        <v>9</v>
      </c>
      <c r="D167" s="189">
        <f>8888 + 750</f>
        <v>9638</v>
      </c>
      <c r="E167" s="281"/>
      <c r="F167" s="281"/>
      <c r="G167" s="235"/>
      <c r="H167" s="1"/>
      <c r="I167" s="1"/>
      <c r="J167" s="120"/>
    </row>
    <row r="168" spans="1:10" ht="14.15" customHeight="1" x14ac:dyDescent="0.35">
      <c r="A168" s="1"/>
      <c r="B168" s="254"/>
      <c r="C168" s="177" t="s">
        <v>74</v>
      </c>
      <c r="D168" s="189">
        <v>790</v>
      </c>
      <c r="E168" s="281"/>
      <c r="F168" s="281"/>
      <c r="G168" s="281"/>
      <c r="H168" s="1"/>
      <c r="I168" s="1"/>
      <c r="J168" s="120"/>
    </row>
    <row r="169" spans="1:10" ht="14.15" customHeight="1" x14ac:dyDescent="0.35">
      <c r="A169" s="1"/>
      <c r="B169" s="254"/>
      <c r="C169" s="177" t="s">
        <v>49</v>
      </c>
      <c r="D169" s="189">
        <f>SUM(D166:D168)</f>
        <v>21251</v>
      </c>
      <c r="E169" s="281"/>
      <c r="F169" s="281"/>
      <c r="G169" s="281"/>
      <c r="H169" s="1"/>
      <c r="I169" s="1"/>
      <c r="J169" s="120"/>
    </row>
    <row r="170" spans="1:10" ht="14.15" customHeight="1" x14ac:dyDescent="0.3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3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3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3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35">
      <c r="A174" s="156"/>
      <c r="B174" s="52"/>
      <c r="C174" s="15" t="s">
        <v>16</v>
      </c>
      <c r="D174" s="175" t="s">
        <v>2</v>
      </c>
      <c r="E174" s="15" t="s">
        <v>146</v>
      </c>
      <c r="F174" s="15" t="s">
        <v>147</v>
      </c>
      <c r="G174" s="54" t="s">
        <v>148</v>
      </c>
      <c r="H174" s="15" t="s">
        <v>149</v>
      </c>
      <c r="I174" s="156"/>
      <c r="J174" s="280"/>
    </row>
    <row r="175" spans="1:10" ht="14.15" customHeight="1" x14ac:dyDescent="0.35">
      <c r="A175" s="1"/>
      <c r="B175" s="254"/>
      <c r="C175" s="141" t="s">
        <v>75</v>
      </c>
      <c r="D175" s="94">
        <v>4223</v>
      </c>
      <c r="E175" s="276">
        <f>267.95298</f>
        <v>267.95298000000003</v>
      </c>
      <c r="F175" s="276">
        <f>2077.98704</f>
        <v>2077.98704</v>
      </c>
      <c r="G175" s="43">
        <f>D175-F175-F176</f>
        <v>446.31024000000002</v>
      </c>
      <c r="H175" s="276">
        <f>2810.27676</f>
        <v>2810.2767600000002</v>
      </c>
      <c r="I175" s="1"/>
      <c r="J175" s="120"/>
    </row>
    <row r="176" spans="1:10" ht="14.15" customHeight="1" x14ac:dyDescent="0.35">
      <c r="A176" s="1"/>
      <c r="B176" s="254"/>
      <c r="C176" s="137" t="s">
        <v>53</v>
      </c>
      <c r="D176" s="181"/>
      <c r="E176" s="152">
        <f>1.87026</f>
        <v>1.87026</v>
      </c>
      <c r="F176" s="152">
        <f>1698.70272</f>
        <v>1698.70272</v>
      </c>
      <c r="G176" s="217"/>
      <c r="H176" s="152">
        <f>2063.19289</f>
        <v>2063.1928899999998</v>
      </c>
      <c r="I176" s="1"/>
      <c r="J176" s="120"/>
    </row>
    <row r="177" spans="1:10" ht="15.65" customHeight="1" x14ac:dyDescent="0.35">
      <c r="A177" s="1"/>
      <c r="B177" s="254"/>
      <c r="C177" s="169" t="s">
        <v>76</v>
      </c>
      <c r="D177" s="98">
        <v>200</v>
      </c>
      <c r="E177" s="172">
        <f>0</f>
        <v>0</v>
      </c>
      <c r="F177" s="172">
        <f>132.40589</f>
        <v>132.40589</v>
      </c>
      <c r="G177" s="172">
        <f>D177-F177</f>
        <v>67.594110000000001</v>
      </c>
      <c r="H177" s="172">
        <f>78.23566</f>
        <v>78.235659999999996</v>
      </c>
      <c r="I177" s="1"/>
      <c r="J177" s="120"/>
    </row>
    <row r="178" spans="1:10" ht="14.15" customHeight="1" x14ac:dyDescent="0.35">
      <c r="A178" s="67"/>
      <c r="B178" s="78"/>
      <c r="C178" s="180" t="s">
        <v>77</v>
      </c>
      <c r="D178" s="181">
        <v>6334</v>
      </c>
      <c r="E178" s="181">
        <f>E179+E180+E181</f>
        <v>0.65503999999999996</v>
      </c>
      <c r="F178" s="181">
        <f>F179+F180+F181</f>
        <v>5994.1727899999996</v>
      </c>
      <c r="G178" s="181">
        <f>D178-F178</f>
        <v>339.82721000000038</v>
      </c>
      <c r="H178" s="181">
        <f>H179+H180+H181</f>
        <v>8202.7534500000002</v>
      </c>
      <c r="I178" s="67"/>
      <c r="J178" s="116"/>
    </row>
    <row r="179" spans="1:10" ht="14.15" customHeight="1" x14ac:dyDescent="0.35">
      <c r="A179" s="197"/>
      <c r="B179" s="182"/>
      <c r="C179" s="183" t="s">
        <v>78</v>
      </c>
      <c r="D179" s="127"/>
      <c r="E179" s="127">
        <f>0.20704</f>
        <v>0.20704</v>
      </c>
      <c r="F179" s="127">
        <f>3093.53655</f>
        <v>3093.5365499999998</v>
      </c>
      <c r="G179" s="127"/>
      <c r="H179" s="127">
        <f>4200.54997</f>
        <v>4200.54997</v>
      </c>
      <c r="I179" s="186"/>
      <c r="J179" s="129"/>
    </row>
    <row r="180" spans="1:10" ht="14.15" customHeight="1" x14ac:dyDescent="0.35">
      <c r="A180" s="197"/>
      <c r="B180" s="182"/>
      <c r="C180" s="183" t="s">
        <v>79</v>
      </c>
      <c r="D180" s="127"/>
      <c r="E180" s="127">
        <f>0.38128</f>
        <v>0.38128000000000001</v>
      </c>
      <c r="F180" s="127">
        <f>1834.79023</f>
        <v>1834.7902300000001</v>
      </c>
      <c r="G180" s="127"/>
      <c r="H180" s="127">
        <f>2529.36287</f>
        <v>2529.3628699999999</v>
      </c>
      <c r="I180" s="186"/>
      <c r="J180" s="187"/>
    </row>
    <row r="181" spans="1:10" ht="14.15" customHeight="1" x14ac:dyDescent="0.35">
      <c r="A181" s="197"/>
      <c r="B181" s="182"/>
      <c r="C181" s="188" t="s">
        <v>80</v>
      </c>
      <c r="D181" s="192"/>
      <c r="E181" s="192">
        <f>0.06672</f>
        <v>6.6720000000000002E-2</v>
      </c>
      <c r="F181" s="192">
        <f>1065.84601</f>
        <v>1065.84601</v>
      </c>
      <c r="G181" s="192"/>
      <c r="H181" s="192">
        <f>1472.84061</f>
        <v>1472.84061</v>
      </c>
      <c r="I181" s="186"/>
      <c r="J181" s="187"/>
    </row>
    <row r="182" spans="1:10" ht="14.15" customHeight="1" x14ac:dyDescent="0.35">
      <c r="A182" s="1"/>
      <c r="B182" s="254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1.9783</f>
        <v>1.9782999999999999</v>
      </c>
      <c r="I182" s="178"/>
      <c r="J182" s="244"/>
    </row>
    <row r="183" spans="1:10" ht="16.5" customHeight="1" x14ac:dyDescent="0.3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99999999999999" customHeight="1" x14ac:dyDescent="0.3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270.47827999999998</v>
      </c>
      <c r="F184" s="194">
        <f>F175+F176+F177+F178+F182+F183</f>
        <v>9903.2684399999998</v>
      </c>
      <c r="G184" s="194">
        <f>D184-F184</f>
        <v>919.73156000000017</v>
      </c>
      <c r="H184" s="194">
        <f>H175+H176+H177+H178+H182+H183</f>
        <v>13156.437060000002</v>
      </c>
      <c r="I184" s="163"/>
      <c r="J184" s="160"/>
    </row>
    <row r="185" spans="1:10" ht="42" customHeight="1" x14ac:dyDescent="0.35">
      <c r="A185" s="1"/>
      <c r="B185" s="198"/>
      <c r="C185" s="227" t="s">
        <v>137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35">
      <c r="A186" s="156" t="s">
        <v>113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3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35">
      <c r="A188" s="150" t="s">
        <v>113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5">
      <c r="A190" s="150" t="s">
        <v>113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3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3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35">
      <c r="A193" s="150"/>
      <c r="B193" s="254"/>
      <c r="C193" s="259" t="s">
        <v>84</v>
      </c>
      <c r="D193" s="270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35">
      <c r="A194" s="150"/>
      <c r="B194" s="254"/>
      <c r="C194" s="248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35">
      <c r="A195" s="150"/>
      <c r="B195" s="254"/>
      <c r="C195" s="248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35">
      <c r="A196" s="150"/>
      <c r="B196" s="254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35">
      <c r="A197" s="1"/>
      <c r="B197" s="254"/>
      <c r="C197" s="101" t="s">
        <v>119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35">
      <c r="A198" s="1"/>
      <c r="B198" s="254"/>
      <c r="C198" s="101" t="s">
        <v>120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35">
      <c r="A199" s="1"/>
      <c r="B199" s="254"/>
      <c r="C199" s="101" t="s">
        <v>123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3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3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3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35">
      <c r="A203" s="1"/>
      <c r="B203" s="254"/>
      <c r="C203" s="68" t="s">
        <v>16</v>
      </c>
      <c r="D203" s="79" t="s">
        <v>2</v>
      </c>
      <c r="E203" s="68" t="s">
        <v>146</v>
      </c>
      <c r="F203" s="68" t="s">
        <v>147</v>
      </c>
      <c r="G203" s="68" t="s">
        <v>148</v>
      </c>
      <c r="H203" s="68" t="s">
        <v>149</v>
      </c>
      <c r="I203" s="1"/>
      <c r="J203" s="120"/>
    </row>
    <row r="204" spans="1:10" ht="15" customHeight="1" x14ac:dyDescent="0.35">
      <c r="A204" s="1"/>
      <c r="B204" s="254"/>
      <c r="C204" s="90" t="s">
        <v>4</v>
      </c>
      <c r="D204" s="124">
        <v>46282</v>
      </c>
      <c r="E204" s="124">
        <f>368.03111</f>
        <v>368.03111000000001</v>
      </c>
      <c r="F204" s="124">
        <f>44817.29846</f>
        <v>44817.298459999998</v>
      </c>
      <c r="G204" s="124">
        <f>D204-F204</f>
        <v>1464.7015400000018</v>
      </c>
      <c r="H204" s="124">
        <f>43317.04269</f>
        <v>43317.042690000002</v>
      </c>
      <c r="I204" s="248"/>
      <c r="J204" s="120"/>
    </row>
    <row r="205" spans="1:10" ht="15" customHeight="1" x14ac:dyDescent="0.35">
      <c r="A205" s="1"/>
      <c r="B205" s="254"/>
      <c r="C205" s="90" t="s">
        <v>67</v>
      </c>
      <c r="D205" s="124">
        <v>100</v>
      </c>
      <c r="E205" s="124">
        <f>0.004</f>
        <v>4.0000000000000001E-3</v>
      </c>
      <c r="F205" s="124">
        <f>44.77344</f>
        <v>44.773440000000001</v>
      </c>
      <c r="G205" s="124">
        <f>D205-F205</f>
        <v>55.226559999999999</v>
      </c>
      <c r="H205" s="124">
        <f>71.76078</f>
        <v>71.760779999999997</v>
      </c>
      <c r="I205" s="248"/>
      <c r="J205" s="120"/>
    </row>
    <row r="206" spans="1:10" ht="15.75" customHeight="1" x14ac:dyDescent="0.3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35">
      <c r="A207" s="1"/>
      <c r="B207" s="254"/>
      <c r="C207" s="179" t="s">
        <v>87</v>
      </c>
      <c r="D207" s="190">
        <f>SUM(D204:D206)</f>
        <v>46418</v>
      </c>
      <c r="E207" s="190">
        <f>SUM(E204:E206)</f>
        <v>368.03511000000003</v>
      </c>
      <c r="F207" s="190">
        <f>SUM(F204:F206)</f>
        <v>44862.071899999995</v>
      </c>
      <c r="G207" s="190">
        <f>D207-F207</f>
        <v>1555.9281000000046</v>
      </c>
      <c r="H207" s="190">
        <f>SUM(H204:H206)</f>
        <v>43388.803469999999</v>
      </c>
      <c r="I207" s="248"/>
      <c r="J207" s="120"/>
    </row>
    <row r="208" spans="1:10" ht="17.149999999999999" customHeight="1" x14ac:dyDescent="0.3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5">
      <c r="A243" s="150"/>
      <c r="B243" s="1"/>
      <c r="C243" s="215" t="s">
        <v>115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5">
      <c r="A244" s="150" t="s">
        <v>113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3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3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3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35">
      <c r="A248" s="1"/>
      <c r="B248" s="254"/>
      <c r="C248" s="68" t="s">
        <v>16</v>
      </c>
      <c r="D248" s="79" t="s">
        <v>2</v>
      </c>
      <c r="E248" s="68" t="s">
        <v>146</v>
      </c>
      <c r="F248" s="68" t="s">
        <v>147</v>
      </c>
      <c r="G248" s="68" t="s">
        <v>148</v>
      </c>
      <c r="H248" s="68" t="s">
        <v>149</v>
      </c>
      <c r="I248" s="1"/>
      <c r="J248" s="120"/>
    </row>
    <row r="249" spans="1:10" ht="15" customHeight="1" x14ac:dyDescent="0.35">
      <c r="A249" s="1"/>
      <c r="B249" s="254"/>
      <c r="C249" s="90" t="s">
        <v>121</v>
      </c>
      <c r="D249" s="124">
        <v>3987</v>
      </c>
      <c r="E249" s="75">
        <f>E250+E251</f>
        <v>40.946460000000002</v>
      </c>
      <c r="F249" s="75">
        <f>F250+F251</f>
        <v>4474.43379</v>
      </c>
      <c r="G249" s="75">
        <f>D249-F249</f>
        <v>-487.43379000000004</v>
      </c>
      <c r="H249" s="75">
        <f>H250+H251</f>
        <v>4404.9265299999997</v>
      </c>
      <c r="I249" s="248"/>
      <c r="J249" s="120"/>
    </row>
    <row r="250" spans="1:10" ht="15" customHeight="1" x14ac:dyDescent="0.35">
      <c r="A250" s="1"/>
      <c r="B250" s="254"/>
      <c r="C250" s="177" t="s">
        <v>8</v>
      </c>
      <c r="D250" s="124"/>
      <c r="E250" s="75">
        <f>20.9304</f>
        <v>20.930399999999999</v>
      </c>
      <c r="F250" s="75">
        <f>3735.6756</f>
        <v>3735.6756</v>
      </c>
      <c r="G250" s="75"/>
      <c r="H250" s="75">
        <f>3662.05499</f>
        <v>3662.0549900000001</v>
      </c>
      <c r="I250" s="248"/>
      <c r="J250" s="120"/>
    </row>
    <row r="251" spans="1:10" ht="15" customHeight="1" x14ac:dyDescent="0.35">
      <c r="A251" s="1"/>
      <c r="B251" s="254"/>
      <c r="C251" s="177" t="s">
        <v>67</v>
      </c>
      <c r="D251" s="124"/>
      <c r="E251" s="124">
        <f>20.01606</f>
        <v>20.01606</v>
      </c>
      <c r="F251" s="124">
        <f>738.75819</f>
        <v>738.75819000000001</v>
      </c>
      <c r="G251" s="168"/>
      <c r="H251" s="124">
        <f>742.87154</f>
        <v>742.87153999999998</v>
      </c>
      <c r="I251" s="248"/>
      <c r="J251" s="120"/>
    </row>
    <row r="252" spans="1:10" ht="15" customHeight="1" x14ac:dyDescent="0.35">
      <c r="A252" s="1"/>
      <c r="B252" s="254"/>
      <c r="C252" s="90" t="s">
        <v>122</v>
      </c>
      <c r="D252" s="124">
        <v>4613</v>
      </c>
      <c r="E252" s="75">
        <f>15.25613</f>
        <v>15.256130000000001</v>
      </c>
      <c r="F252" s="75">
        <f>5640.79489</f>
        <v>5640.7948900000001</v>
      </c>
      <c r="G252" s="75">
        <f>D252-F252</f>
        <v>-1027.7948900000001</v>
      </c>
      <c r="H252" s="75">
        <f>5806.19879</f>
        <v>5806.1987900000004</v>
      </c>
      <c r="I252" s="248"/>
      <c r="J252" s="120"/>
    </row>
    <row r="253" spans="1:10" ht="16.5" customHeight="1" x14ac:dyDescent="0.35">
      <c r="A253" s="1"/>
      <c r="B253" s="254"/>
      <c r="C253" s="179" t="s">
        <v>87</v>
      </c>
      <c r="D253" s="190">
        <f>D252+D249</f>
        <v>8600</v>
      </c>
      <c r="E253" s="190">
        <f>SUM(E249,E252)</f>
        <v>56.202590000000001</v>
      </c>
      <c r="F253" s="190">
        <f>SUM(F249,F252)</f>
        <v>10115.22868</v>
      </c>
      <c r="G253" s="190">
        <f>D253-F253</f>
        <v>-1515.2286800000002</v>
      </c>
      <c r="H253" s="190">
        <f>SUM(H249,H252)</f>
        <v>10211.125319999999</v>
      </c>
      <c r="I253" s="248"/>
      <c r="J253" s="120"/>
    </row>
    <row r="254" spans="1:10" ht="17.149999999999999" customHeight="1" x14ac:dyDescent="0.3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49999999999999" customHeight="1" x14ac:dyDescent="0.3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5">
      <c r="A289" s="150"/>
      <c r="B289" s="1"/>
      <c r="C289" s="215" t="s">
        <v>116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5">
      <c r="A290" s="150" t="s">
        <v>113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3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3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3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35">
      <c r="A294" s="1"/>
      <c r="B294" s="254"/>
      <c r="C294" s="68" t="s">
        <v>16</v>
      </c>
      <c r="D294" s="79" t="s">
        <v>2</v>
      </c>
      <c r="E294" s="68" t="s">
        <v>146</v>
      </c>
      <c r="F294" s="68" t="s">
        <v>147</v>
      </c>
      <c r="G294" s="68" t="s">
        <v>148</v>
      </c>
      <c r="H294" s="68" t="s">
        <v>149</v>
      </c>
      <c r="I294" s="1"/>
      <c r="J294" s="120"/>
    </row>
    <row r="295" spans="1:10" ht="15" customHeight="1" x14ac:dyDescent="0.35">
      <c r="A295" s="1"/>
      <c r="B295" s="254"/>
      <c r="C295" s="90" t="s">
        <v>121</v>
      </c>
      <c r="D295" s="124">
        <v>5090</v>
      </c>
      <c r="E295" s="75">
        <f>E296+E297</f>
        <v>42.561660000000003</v>
      </c>
      <c r="F295" s="75">
        <f>F296+F297</f>
        <v>5574.42119</v>
      </c>
      <c r="G295" s="75">
        <f>D295-F295</f>
        <v>-484.42119000000002</v>
      </c>
      <c r="H295" s="75">
        <f>H296+H297</f>
        <v>6203.3355899999997</v>
      </c>
      <c r="I295" s="248"/>
      <c r="J295" s="120"/>
    </row>
    <row r="296" spans="1:10" ht="15" customHeight="1" x14ac:dyDescent="0.35">
      <c r="A296" s="1"/>
      <c r="B296" s="254"/>
      <c r="C296" s="177" t="s">
        <v>8</v>
      </c>
      <c r="D296" s="124"/>
      <c r="E296" s="75">
        <f>17.2162</f>
        <v>17.216200000000001</v>
      </c>
      <c r="F296" s="75">
        <f>4956.09055</f>
        <v>4956.0905499999999</v>
      </c>
      <c r="G296" s="75"/>
      <c r="H296" s="75">
        <f>5663.92245</f>
        <v>5663.92245</v>
      </c>
      <c r="I296" s="248"/>
      <c r="J296" s="120"/>
    </row>
    <row r="297" spans="1:10" ht="15" customHeight="1" x14ac:dyDescent="0.35">
      <c r="A297" s="1"/>
      <c r="B297" s="254"/>
      <c r="C297" s="177" t="s">
        <v>67</v>
      </c>
      <c r="D297" s="124"/>
      <c r="E297" s="124">
        <f>25.34546</f>
        <v>25.345459999999999</v>
      </c>
      <c r="F297" s="124">
        <f>618.33064</f>
        <v>618.33064000000002</v>
      </c>
      <c r="G297" s="168"/>
      <c r="H297" s="124">
        <f>539.41314</f>
        <v>539.41314</v>
      </c>
      <c r="I297" s="248"/>
      <c r="J297" s="120"/>
    </row>
    <row r="298" spans="1:10" ht="15" customHeight="1" x14ac:dyDescent="0.35">
      <c r="A298" s="1"/>
      <c r="B298" s="254"/>
      <c r="C298" s="90" t="s">
        <v>122</v>
      </c>
      <c r="D298" s="124">
        <v>2981</v>
      </c>
      <c r="E298" s="75">
        <f>74.27012</f>
        <v>74.270120000000006</v>
      </c>
      <c r="F298" s="75">
        <f>3657.97685</f>
        <v>3657.97685</v>
      </c>
      <c r="G298" s="75">
        <f>D298-F298</f>
        <v>-676.97685000000001</v>
      </c>
      <c r="H298" s="75">
        <f>4503.6427</f>
        <v>4503.6427000000003</v>
      </c>
      <c r="I298" s="248"/>
      <c r="J298" s="120"/>
    </row>
    <row r="299" spans="1:10" ht="16.5" customHeight="1" x14ac:dyDescent="0.35">
      <c r="A299" s="1"/>
      <c r="B299" s="254"/>
      <c r="C299" s="179" t="s">
        <v>87</v>
      </c>
      <c r="D299" s="190">
        <f>D298+D295</f>
        <v>8071</v>
      </c>
      <c r="E299" s="190">
        <f>SUM(E295,E298)</f>
        <v>116.83178000000001</v>
      </c>
      <c r="F299" s="190">
        <f>SUM(F295,F298)</f>
        <v>9232.39804</v>
      </c>
      <c r="G299" s="190">
        <f>D299-F299</f>
        <v>-1161.39804</v>
      </c>
      <c r="H299" s="190">
        <f>SUM(H295,H298)</f>
        <v>10706.978289999999</v>
      </c>
      <c r="I299" s="248"/>
      <c r="J299" s="120"/>
    </row>
    <row r="300" spans="1:10" ht="17.149999999999999" customHeight="1" x14ac:dyDescent="0.3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3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3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35">
      <c r="A336" s="218" t="s">
        <v>113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5" customHeight="1" x14ac:dyDescent="0.3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5" customHeight="1" x14ac:dyDescent="0.3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5" customHeight="1" x14ac:dyDescent="0.35">
      <c r="A339" s="1"/>
      <c r="B339" s="254"/>
      <c r="C339" s="259" t="s">
        <v>84</v>
      </c>
      <c r="D339" s="270">
        <v>3851</v>
      </c>
      <c r="E339" s="150"/>
      <c r="F339" s="225"/>
      <c r="G339" s="1"/>
      <c r="H339" s="1"/>
      <c r="I339" s="1"/>
      <c r="J339" s="120"/>
    </row>
    <row r="340" spans="1:10" ht="14.15" customHeight="1" x14ac:dyDescent="0.35">
      <c r="A340" s="1"/>
      <c r="B340" s="254"/>
      <c r="C340" s="248" t="s">
        <v>90</v>
      </c>
      <c r="D340" s="46">
        <v>11613</v>
      </c>
      <c r="E340" s="150"/>
      <c r="F340" s="225"/>
      <c r="G340" s="1"/>
      <c r="H340" s="1"/>
      <c r="I340" s="1"/>
      <c r="J340" s="120"/>
    </row>
    <row r="341" spans="1:10" ht="14.15" customHeight="1" x14ac:dyDescent="0.35">
      <c r="A341" s="1"/>
      <c r="B341" s="254"/>
      <c r="C341" s="248" t="s">
        <v>91</v>
      </c>
      <c r="D341" s="46">
        <v>9054</v>
      </c>
      <c r="E341" s="150"/>
      <c r="F341" s="225"/>
      <c r="G341" s="1"/>
      <c r="H341" s="1"/>
      <c r="I341" s="1"/>
      <c r="J341" s="120"/>
    </row>
    <row r="342" spans="1:10" ht="13.5" customHeight="1" x14ac:dyDescent="0.35">
      <c r="A342" s="1"/>
      <c r="B342" s="254"/>
      <c r="C342" s="248" t="s">
        <v>124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35">
      <c r="A343" s="1"/>
      <c r="B343" s="254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5" customHeight="1" x14ac:dyDescent="0.3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3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3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3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5" customHeight="1" x14ac:dyDescent="0.3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35">
      <c r="A349" s="1"/>
      <c r="B349" s="254"/>
      <c r="C349" s="68" t="s">
        <v>16</v>
      </c>
      <c r="D349" s="243" t="s">
        <v>2</v>
      </c>
      <c r="E349" s="68" t="s">
        <v>146</v>
      </c>
      <c r="F349" s="68" t="s">
        <v>147</v>
      </c>
      <c r="G349" s="68" t="s">
        <v>148</v>
      </c>
      <c r="H349" s="68" t="s">
        <v>149</v>
      </c>
      <c r="I349" s="1"/>
      <c r="J349" s="116"/>
    </row>
    <row r="350" spans="1:10" ht="14.15" customHeight="1" x14ac:dyDescent="0.35">
      <c r="A350" s="67"/>
      <c r="B350" s="78"/>
      <c r="C350" s="90" t="s">
        <v>93</v>
      </c>
      <c r="D350" s="124">
        <v>800</v>
      </c>
      <c r="E350" s="124">
        <f>6.17075</f>
        <v>6.17075</v>
      </c>
      <c r="F350" s="124">
        <f>718.12551</f>
        <v>718.12550999999996</v>
      </c>
      <c r="G350" s="124">
        <f>D350-F350</f>
        <v>81.874490000000037</v>
      </c>
      <c r="H350" s="124">
        <f>644.94349</f>
        <v>644.94349</v>
      </c>
      <c r="I350" s="67"/>
      <c r="J350" s="244"/>
    </row>
    <row r="351" spans="1:10" ht="14.15" customHeight="1" x14ac:dyDescent="0.35">
      <c r="A351" s="1"/>
      <c r="B351" s="254"/>
      <c r="C351" s="90" t="s">
        <v>94</v>
      </c>
      <c r="D351" s="246">
        <v>3041</v>
      </c>
      <c r="E351" s="124">
        <f>91.20668</f>
        <v>91.206680000000006</v>
      </c>
      <c r="F351" s="124">
        <f>2763.37043</f>
        <v>2763.3704299999999</v>
      </c>
      <c r="G351" s="124">
        <f>D351-F351</f>
        <v>277.62957000000006</v>
      </c>
      <c r="H351" s="124">
        <f>2818.37716</f>
        <v>2818.37716</v>
      </c>
      <c r="I351" s="178"/>
      <c r="J351" s="116"/>
    </row>
    <row r="352" spans="1:10" ht="16.5" customHeight="1" x14ac:dyDescent="0.3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3.78662</f>
        <v>3.7866200000000001</v>
      </c>
      <c r="G352" s="124">
        <f>D352-F352</f>
        <v>6.2133799999999999</v>
      </c>
      <c r="H352" s="168">
        <f>6.93874</f>
        <v>6.9387400000000001</v>
      </c>
      <c r="I352" s="67"/>
      <c r="J352" s="249"/>
    </row>
    <row r="353" spans="1:10" ht="18.75" customHeight="1" x14ac:dyDescent="0.35">
      <c r="A353" s="67"/>
      <c r="B353" s="250"/>
      <c r="C353" s="146" t="s">
        <v>95</v>
      </c>
      <c r="D353" s="222"/>
      <c r="E353" s="168">
        <f>0</f>
        <v>0</v>
      </c>
      <c r="F353" s="168">
        <f>2.54029</f>
        <v>2.5402900000000002</v>
      </c>
      <c r="G353" s="124">
        <f>D353-F353</f>
        <v>-2.5402900000000002</v>
      </c>
      <c r="H353" s="168">
        <f>1.81523</f>
        <v>1.8152299999999999</v>
      </c>
      <c r="I353" s="284"/>
      <c r="J353" s="120"/>
    </row>
    <row r="354" spans="1:10" ht="14.15" customHeight="1" x14ac:dyDescent="0.35">
      <c r="A354" s="1"/>
      <c r="B354" s="254"/>
      <c r="C354" s="179" t="s">
        <v>87</v>
      </c>
      <c r="D354" s="6">
        <f>D339</f>
        <v>3851</v>
      </c>
      <c r="E354" s="190">
        <f>SUM(E350:E353)</f>
        <v>97.377430000000004</v>
      </c>
      <c r="F354" s="190">
        <f>SUM(F350:F353)</f>
        <v>3487.8228499999996</v>
      </c>
      <c r="G354" s="190">
        <f>D354-F354</f>
        <v>363.17715000000044</v>
      </c>
      <c r="H354" s="190">
        <f>H350+H351+H352+H353</f>
        <v>3472.0746200000003</v>
      </c>
      <c r="I354" s="1"/>
      <c r="J354" s="120"/>
    </row>
    <row r="355" spans="1:10" ht="14.15" customHeight="1" x14ac:dyDescent="0.3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5" customHeight="1" x14ac:dyDescent="0.3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5" customHeight="1" x14ac:dyDescent="0.35">
      <c r="A357" s="1"/>
      <c r="C357" s="150" t="s">
        <v>113</v>
      </c>
    </row>
    <row r="358" spans="1:10" ht="14.15" customHeight="1" x14ac:dyDescent="0.35">
      <c r="A358" s="1" t="s">
        <v>113</v>
      </c>
    </row>
    <row r="359" spans="1:10" ht="14.15" customHeight="1" x14ac:dyDescent="0.35">
      <c r="A359" s="1" t="s">
        <v>113</v>
      </c>
    </row>
    <row r="360" spans="1:10" ht="14.15" customHeight="1" x14ac:dyDescent="0.35">
      <c r="A360" s="1"/>
      <c r="C360" s="150" t="s">
        <v>113</v>
      </c>
    </row>
    <row r="361" spans="1:10" x14ac:dyDescent="0.35">
      <c r="A361" s="1"/>
      <c r="C361" s="150" t="s">
        <v>113</v>
      </c>
    </row>
    <row r="362" spans="1:10" ht="14.15" customHeight="1" x14ac:dyDescent="0.35">
      <c r="A362" s="1"/>
      <c r="C362" s="150" t="s">
        <v>113</v>
      </c>
    </row>
    <row r="363" spans="1:10" ht="14.15" customHeight="1" x14ac:dyDescent="0.35">
      <c r="A363" s="1"/>
      <c r="C363" s="150" t="s">
        <v>113</v>
      </c>
    </row>
    <row r="364" spans="1:10" ht="30" customHeight="1" x14ac:dyDescent="0.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49999999999999" customHeight="1" x14ac:dyDescent="0.3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3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3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35">
      <c r="B368" s="72"/>
      <c r="C368" s="259" t="s">
        <v>84</v>
      </c>
      <c r="D368" s="270">
        <v>35008</v>
      </c>
      <c r="E368" s="252" t="s">
        <v>4</v>
      </c>
      <c r="F368" s="103">
        <v>21508</v>
      </c>
      <c r="G368" s="248" t="s">
        <v>20</v>
      </c>
      <c r="H368" s="46">
        <v>12051</v>
      </c>
      <c r="I368" s="150"/>
      <c r="J368" s="130"/>
    </row>
    <row r="369" spans="1:10" ht="14.25" customHeight="1" x14ac:dyDescent="0.35">
      <c r="B369" s="72"/>
      <c r="C369" s="248" t="s">
        <v>91</v>
      </c>
      <c r="D369" s="46">
        <v>23995</v>
      </c>
      <c r="E369" s="178" t="s">
        <v>94</v>
      </c>
      <c r="F369" s="47">
        <v>8000</v>
      </c>
      <c r="G369" s="248" t="s">
        <v>21</v>
      </c>
      <c r="H369" s="46">
        <v>3136</v>
      </c>
      <c r="I369" s="150"/>
      <c r="J369" s="130"/>
    </row>
    <row r="370" spans="1:10" ht="14.25" customHeight="1" x14ac:dyDescent="0.35">
      <c r="B370" s="72"/>
      <c r="C370" s="248" t="s">
        <v>90</v>
      </c>
      <c r="D370" s="46">
        <v>8105</v>
      </c>
      <c r="E370" s="178" t="s">
        <v>59</v>
      </c>
      <c r="F370" s="47">
        <v>5500</v>
      </c>
      <c r="G370" s="248" t="s">
        <v>99</v>
      </c>
      <c r="H370" s="46">
        <v>4867</v>
      </c>
      <c r="I370" s="150"/>
      <c r="J370" s="130"/>
    </row>
    <row r="371" spans="1:10" ht="14.15" customHeight="1" x14ac:dyDescent="0.35">
      <c r="B371" s="72"/>
      <c r="C371" s="248"/>
      <c r="D371" s="46"/>
      <c r="E371" s="131"/>
      <c r="F371" s="144"/>
      <c r="G371" s="248" t="s">
        <v>100</v>
      </c>
      <c r="H371" s="46">
        <v>1454</v>
      </c>
      <c r="I371" s="150"/>
      <c r="J371" s="130"/>
    </row>
    <row r="372" spans="1:10" ht="14.15" customHeight="1" x14ac:dyDescent="0.3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4" customHeight="1" x14ac:dyDescent="0.35">
      <c r="B373" s="72"/>
      <c r="C373" s="211" t="s">
        <v>133</v>
      </c>
      <c r="D373" s="178"/>
      <c r="E373" s="178"/>
      <c r="F373" s="178"/>
      <c r="G373" s="1"/>
      <c r="H373" s="178"/>
      <c r="I373" s="178"/>
      <c r="J373" s="244"/>
    </row>
    <row r="374" spans="1:10" ht="13.4" customHeight="1" x14ac:dyDescent="0.35">
      <c r="B374" s="72"/>
      <c r="C374" s="212" t="s">
        <v>134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3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3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3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3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35">
      <c r="B379" s="72"/>
      <c r="C379" s="223" t="s">
        <v>16</v>
      </c>
      <c r="D379" s="232" t="s">
        <v>17</v>
      </c>
      <c r="E379" s="68" t="s">
        <v>140</v>
      </c>
      <c r="F379" s="223" t="s">
        <v>146</v>
      </c>
      <c r="G379" s="223" t="s">
        <v>147</v>
      </c>
      <c r="H379" s="223" t="s">
        <v>148</v>
      </c>
      <c r="I379" s="223" t="s">
        <v>149</v>
      </c>
      <c r="J379" s="130"/>
    </row>
    <row r="380" spans="1:10" ht="14.15" customHeight="1" x14ac:dyDescent="0.35">
      <c r="A380" s="218"/>
      <c r="B380" s="72"/>
      <c r="C380" s="247" t="s">
        <v>19</v>
      </c>
      <c r="D380" s="251">
        <f t="shared" ref="D380:I380" si="17">D384+D383+D382+D381</f>
        <v>21508</v>
      </c>
      <c r="E380" s="251">
        <v>22969</v>
      </c>
      <c r="F380" s="253">
        <f t="shared" si="17"/>
        <v>43.03295</v>
      </c>
      <c r="G380" s="253">
        <f t="shared" si="17"/>
        <v>20550.021379999998</v>
      </c>
      <c r="H380" s="253">
        <f>H384+H383+H382+H381</f>
        <v>2418.9786199999999</v>
      </c>
      <c r="I380" s="253">
        <f t="shared" si="17"/>
        <v>17758.720109999998</v>
      </c>
      <c r="J380" s="130"/>
    </row>
    <row r="381" spans="1:10" ht="14.15" customHeight="1" x14ac:dyDescent="0.35">
      <c r="A381" s="218"/>
      <c r="B381" s="72"/>
      <c r="C381" s="255" t="s">
        <v>103</v>
      </c>
      <c r="D381" s="256">
        <v>12051</v>
      </c>
      <c r="E381" s="256">
        <v>13190</v>
      </c>
      <c r="F381" s="257">
        <f>27.80409</f>
        <v>27.804089999999999</v>
      </c>
      <c r="G381" s="257">
        <f>13325.67144</f>
        <v>13325.67144</v>
      </c>
      <c r="H381" s="257">
        <f t="shared" ref="H381:H385" si="18">E381-G381</f>
        <v>-135.67144000000008</v>
      </c>
      <c r="I381" s="257">
        <f>10403.44768</f>
        <v>10403.447679999999</v>
      </c>
      <c r="J381" s="130"/>
    </row>
    <row r="382" spans="1:10" ht="14.15" customHeight="1" x14ac:dyDescent="0.35">
      <c r="A382" s="218"/>
      <c r="B382" s="72"/>
      <c r="C382" s="260" t="s">
        <v>21</v>
      </c>
      <c r="D382" s="256">
        <v>3136</v>
      </c>
      <c r="E382" s="256">
        <v>3433</v>
      </c>
      <c r="F382" s="257">
        <f>0</f>
        <v>0</v>
      </c>
      <c r="G382" s="257">
        <f>2382.55392</f>
        <v>2382.5539199999998</v>
      </c>
      <c r="H382" s="257">
        <f t="shared" si="18"/>
        <v>1050.4460800000002</v>
      </c>
      <c r="I382" s="257">
        <f>1811.41785</f>
        <v>1811.41785</v>
      </c>
      <c r="J382" s="130"/>
    </row>
    <row r="383" spans="1:10" ht="14.15" customHeight="1" x14ac:dyDescent="0.35">
      <c r="A383" s="218"/>
      <c r="B383" s="72"/>
      <c r="C383" s="260" t="s">
        <v>100</v>
      </c>
      <c r="D383" s="256">
        <v>1454</v>
      </c>
      <c r="E383" s="256">
        <v>1483</v>
      </c>
      <c r="F383" s="257">
        <f>13.88126</f>
        <v>13.881259999999999</v>
      </c>
      <c r="G383" s="257">
        <f>2272.65491</f>
        <v>2272.6549100000002</v>
      </c>
      <c r="H383" s="257">
        <f t="shared" si="18"/>
        <v>-789.6549100000002</v>
      </c>
      <c r="I383" s="257">
        <f>2342.58468</f>
        <v>2342.5846799999999</v>
      </c>
      <c r="J383" s="130"/>
    </row>
    <row r="384" spans="1:10" ht="14.15" customHeight="1" x14ac:dyDescent="0.35">
      <c r="A384" s="218"/>
      <c r="B384" s="72"/>
      <c r="C384" s="262" t="s">
        <v>141</v>
      </c>
      <c r="D384" s="263">
        <v>4867</v>
      </c>
      <c r="E384" s="263">
        <v>4863</v>
      </c>
      <c r="F384" s="257">
        <f>1.3476</f>
        <v>1.3475999999999999</v>
      </c>
      <c r="G384" s="257">
        <f>2569.14111</f>
        <v>2569.14111</v>
      </c>
      <c r="H384" s="257">
        <f t="shared" si="18"/>
        <v>2293.85889</v>
      </c>
      <c r="I384" s="257">
        <f>3201.2699</f>
        <v>3201.2698999999998</v>
      </c>
      <c r="J384" s="130"/>
    </row>
    <row r="385" spans="1:10" ht="14.15" customHeight="1" x14ac:dyDescent="0.35">
      <c r="A385" s="218"/>
      <c r="B385" s="72"/>
      <c r="C385" s="265" t="s">
        <v>59</v>
      </c>
      <c r="D385" s="266">
        <v>5500</v>
      </c>
      <c r="E385" s="266">
        <v>5500</v>
      </c>
      <c r="F385" s="268">
        <f>6.94</f>
        <v>6.94</v>
      </c>
      <c r="G385" s="268">
        <f>2411.01778</f>
        <v>2411.0177800000001</v>
      </c>
      <c r="H385" s="268">
        <f t="shared" si="18"/>
        <v>3088.9822199999999</v>
      </c>
      <c r="I385" s="268">
        <f>5114.46228</f>
        <v>5114.4622799999997</v>
      </c>
      <c r="J385" s="130"/>
    </row>
    <row r="386" spans="1:10" ht="14.15" customHeight="1" x14ac:dyDescent="0.3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9.074819999999999</v>
      </c>
      <c r="G386" s="269">
        <f>G388+G387</f>
        <v>4300.3057100000005</v>
      </c>
      <c r="H386" s="269">
        <f>E386-G386</f>
        <v>3699.6942899999995</v>
      </c>
      <c r="I386" s="269">
        <f>I388+I387</f>
        <v>4923.9082099999996</v>
      </c>
      <c r="J386" s="130"/>
    </row>
    <row r="387" spans="1:10" ht="14.15" customHeight="1" x14ac:dyDescent="0.35">
      <c r="A387" s="218"/>
      <c r="B387" s="72"/>
      <c r="C387" s="260" t="s">
        <v>53</v>
      </c>
      <c r="D387" s="271"/>
      <c r="E387" s="256"/>
      <c r="F387" s="257">
        <f>0.04699</f>
        <v>4.6989999999999997E-2</v>
      </c>
      <c r="G387" s="257">
        <f>1065.87556</f>
        <v>1065.87556</v>
      </c>
      <c r="H387" s="257"/>
      <c r="I387" s="257">
        <f>886.04813</f>
        <v>886.04813000000001</v>
      </c>
      <c r="J387" s="130"/>
    </row>
    <row r="388" spans="1:10" ht="14.15" customHeight="1" x14ac:dyDescent="0.35">
      <c r="A388" s="218"/>
      <c r="B388" s="72"/>
      <c r="C388" s="273" t="s">
        <v>104</v>
      </c>
      <c r="D388" s="274"/>
      <c r="E388" s="277"/>
      <c r="F388" s="278">
        <f>9.02783</f>
        <v>9.0278299999999998</v>
      </c>
      <c r="G388" s="278">
        <f>3234.43015</f>
        <v>3234.4301500000001</v>
      </c>
      <c r="H388" s="278"/>
      <c r="I388" s="278">
        <f>4037.86008</f>
        <v>4037.8600799999999</v>
      </c>
      <c r="J388" s="130"/>
    </row>
    <row r="389" spans="1:10" ht="14.15" customHeight="1" x14ac:dyDescent="0.3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0.1565</f>
        <v>0.1565</v>
      </c>
      <c r="H389" s="268">
        <f>E389-G389</f>
        <v>12.843500000000001</v>
      </c>
      <c r="I389" s="268">
        <f>0.7485</f>
        <v>0.74850000000000005</v>
      </c>
      <c r="J389" s="130"/>
    </row>
    <row r="390" spans="1:10" ht="14.15" customHeight="1" x14ac:dyDescent="0.35">
      <c r="A390" s="218"/>
      <c r="B390" s="72"/>
      <c r="C390" s="279" t="s">
        <v>105</v>
      </c>
      <c r="D390" s="282"/>
      <c r="E390" s="283"/>
      <c r="F390" s="268">
        <f>0.0222</f>
        <v>2.2200000000000001E-2</v>
      </c>
      <c r="G390" s="268">
        <f>134.65383</f>
        <v>134.65383</v>
      </c>
      <c r="H390" s="268">
        <f>E390-G390</f>
        <v>-134.65383</v>
      </c>
      <c r="I390" s="268">
        <f>151.28093</f>
        <v>151.28093000000001</v>
      </c>
      <c r="J390" s="130"/>
    </row>
    <row r="391" spans="1:10" ht="19.5" customHeight="1" x14ac:dyDescent="0.35">
      <c r="A391" s="218"/>
      <c r="B391" s="72"/>
      <c r="C391" s="285" t="s">
        <v>40</v>
      </c>
      <c r="D391" s="286">
        <f>D380+D385+D386+D389+D390</f>
        <v>35021</v>
      </c>
      <c r="E391" s="286">
        <v>36482</v>
      </c>
      <c r="F391" s="287">
        <f t="shared" ref="F391:I391" si="19">F380+F385+F386+F389+F390</f>
        <v>59.069969999999998</v>
      </c>
      <c r="G391" s="287">
        <f t="shared" si="19"/>
        <v>27396.155200000001</v>
      </c>
      <c r="H391" s="287">
        <f>H380+H385+H386+H389+H390</f>
        <v>9085.8448000000008</v>
      </c>
      <c r="I391" s="287">
        <f t="shared" si="19"/>
        <v>27949.120029999998</v>
      </c>
      <c r="J391" s="130"/>
    </row>
    <row r="392" spans="1:10" ht="14.15" customHeight="1" x14ac:dyDescent="0.35">
      <c r="A392" s="218"/>
      <c r="B392" s="72"/>
      <c r="C392" s="161" t="s">
        <v>106</v>
      </c>
      <c r="D392" s="289"/>
      <c r="E392" s="289"/>
      <c r="F392" s="4"/>
      <c r="G392" s="4"/>
      <c r="H392" s="5"/>
      <c r="I392" s="5"/>
      <c r="J392" s="130"/>
    </row>
    <row r="393" spans="1:10" ht="14.15" customHeight="1" x14ac:dyDescent="0.35">
      <c r="A393" s="218"/>
      <c r="B393" s="72"/>
      <c r="C393" s="101" t="s">
        <v>142</v>
      </c>
      <c r="D393" s="289"/>
      <c r="E393" s="289"/>
      <c r="F393" s="4"/>
      <c r="G393" s="4"/>
      <c r="H393" s="7"/>
      <c r="I393" s="5"/>
      <c r="J393" s="130"/>
    </row>
    <row r="394" spans="1:10" ht="14.15" customHeight="1" x14ac:dyDescent="0.35">
      <c r="A394" s="218"/>
      <c r="B394" s="72"/>
      <c r="C394" s="101"/>
      <c r="D394" s="289"/>
      <c r="E394" s="289"/>
      <c r="F394" s="4"/>
      <c r="G394" s="4"/>
      <c r="H394" s="5"/>
      <c r="I394" s="7"/>
      <c r="J394" s="130"/>
    </row>
    <row r="395" spans="1:10" ht="15.75" customHeight="1" x14ac:dyDescent="0.3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3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35">
      <c r="A397" s="218"/>
      <c r="B397" s="150" t="s">
        <v>113</v>
      </c>
      <c r="C397" s="14"/>
      <c r="D397" s="1"/>
      <c r="E397" s="1"/>
      <c r="F397" s="1"/>
      <c r="G397" s="1"/>
      <c r="H397" s="1"/>
      <c r="I397" s="1"/>
      <c r="J397" s="150"/>
    </row>
    <row r="398" spans="1:10" ht="14.15" customHeight="1" x14ac:dyDescent="0.35">
      <c r="A398" s="218"/>
      <c r="C398" s="150" t="s">
        <v>113</v>
      </c>
      <c r="D398" s="156"/>
    </row>
    <row r="399" spans="1:10" ht="14.15" customHeight="1" x14ac:dyDescent="0.3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5" customHeight="1" x14ac:dyDescent="0.35">
      <c r="A400" s="218"/>
      <c r="B400" s="72"/>
      <c r="C400" s="219" t="s">
        <v>107</v>
      </c>
      <c r="D400" s="156"/>
      <c r="E400" s="150"/>
      <c r="G400" s="150"/>
      <c r="H400" s="150"/>
      <c r="I400" s="150"/>
      <c r="J400" s="130"/>
    </row>
    <row r="401" spans="1:10" ht="14.15" customHeight="1" x14ac:dyDescent="0.3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5" customHeight="1" x14ac:dyDescent="0.3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5" customHeight="1" x14ac:dyDescent="0.3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5" customHeight="1" x14ac:dyDescent="0.3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5" customHeight="1" x14ac:dyDescent="0.3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5" customHeight="1" x14ac:dyDescent="0.3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5" customHeight="1" x14ac:dyDescent="0.35">
      <c r="A407" s="218"/>
      <c r="B407" s="72"/>
      <c r="C407" s="301" t="s">
        <v>138</v>
      </c>
      <c r="D407" s="301"/>
      <c r="E407" s="301"/>
      <c r="F407" s="301"/>
      <c r="G407" s="214"/>
      <c r="H407" s="214"/>
      <c r="I407" s="150"/>
      <c r="J407" s="130"/>
    </row>
    <row r="408" spans="1:10" ht="14.15" customHeight="1" x14ac:dyDescent="0.3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5" customHeight="1" x14ac:dyDescent="0.3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5" customHeight="1" x14ac:dyDescent="0.3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3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35">
      <c r="A412" s="218"/>
      <c r="B412" s="198"/>
      <c r="C412" s="20" t="s">
        <v>108</v>
      </c>
      <c r="D412" s="22" t="s">
        <v>109</v>
      </c>
      <c r="E412" s="20" t="s">
        <v>146</v>
      </c>
      <c r="F412" s="20" t="s">
        <v>147</v>
      </c>
      <c r="G412" s="25" t="s">
        <v>148</v>
      </c>
      <c r="H412" s="20" t="s">
        <v>149</v>
      </c>
      <c r="I412" s="224"/>
      <c r="J412" s="13"/>
    </row>
    <row r="413" spans="1:10" ht="14.15" customHeight="1" x14ac:dyDescent="0.35">
      <c r="A413" s="218"/>
      <c r="B413" s="72"/>
      <c r="C413" s="265" t="s">
        <v>110</v>
      </c>
      <c r="D413" s="204">
        <v>894</v>
      </c>
      <c r="E413" s="26">
        <f>SUM(E414:E415)</f>
        <v>0</v>
      </c>
      <c r="F413" s="26">
        <f>SUM(F414:F415)</f>
        <v>1023.2118800000001</v>
      </c>
      <c r="G413" s="85">
        <f>D413-F413</f>
        <v>-129.21188000000006</v>
      </c>
      <c r="H413" s="26">
        <f>SUM(H414:H415)</f>
        <v>988.40122999999994</v>
      </c>
      <c r="I413" s="27"/>
      <c r="J413" s="130"/>
    </row>
    <row r="414" spans="1:10" ht="14.15" customHeight="1" x14ac:dyDescent="0.35">
      <c r="A414" s="218"/>
      <c r="B414" s="72"/>
      <c r="C414" s="29" t="s">
        <v>8</v>
      </c>
      <c r="E414" s="205">
        <f>0</f>
        <v>0</v>
      </c>
      <c r="F414" s="205">
        <f>778.95308</f>
        <v>778.95308</v>
      </c>
      <c r="G414" s="206"/>
      <c r="H414" s="205">
        <f>753.71223</f>
        <v>753.71222999999998</v>
      </c>
      <c r="I414" s="150"/>
      <c r="J414" s="130"/>
    </row>
    <row r="415" spans="1:10" ht="14.15" customHeight="1" x14ac:dyDescent="0.35">
      <c r="A415" s="218"/>
      <c r="B415" s="72"/>
      <c r="C415" s="29" t="s">
        <v>11</v>
      </c>
      <c r="D415" s="207"/>
      <c r="E415" s="208">
        <f>0</f>
        <v>0</v>
      </c>
      <c r="F415" s="208">
        <f>244.2588</f>
        <v>244.25880000000001</v>
      </c>
      <c r="G415" s="209"/>
      <c r="H415" s="208">
        <f>234.689</f>
        <v>234.68899999999999</v>
      </c>
      <c r="I415" s="150"/>
      <c r="J415" s="130"/>
    </row>
    <row r="416" spans="1:10" ht="14.15" customHeight="1" x14ac:dyDescent="0.35">
      <c r="A416" s="218"/>
      <c r="B416" s="72"/>
      <c r="C416" s="265" t="s">
        <v>111</v>
      </c>
      <c r="D416" s="10">
        <v>894</v>
      </c>
      <c r="E416" s="26">
        <f>SUM(E417:E418)</f>
        <v>38.083500000000001</v>
      </c>
      <c r="F416" s="26">
        <f>SUM(F417:F418)</f>
        <v>380.06484</v>
      </c>
      <c r="G416" s="85">
        <f>D416-F416</f>
        <v>513.93516</v>
      </c>
      <c r="H416" s="26">
        <f>SUM(H417:H418)</f>
        <v>418.29680000000002</v>
      </c>
      <c r="I416" s="27"/>
      <c r="J416" s="130"/>
    </row>
    <row r="417" spans="1:10" ht="14.15" customHeight="1" x14ac:dyDescent="0.35">
      <c r="A417" s="218"/>
      <c r="B417" s="72"/>
      <c r="C417" s="29" t="s">
        <v>8</v>
      </c>
      <c r="D417" s="42"/>
      <c r="E417" s="30">
        <f>33.8175</f>
        <v>33.817500000000003</v>
      </c>
      <c r="F417" s="30">
        <f>279.9555</f>
        <v>279.95549999999997</v>
      </c>
      <c r="G417" s="97"/>
      <c r="H417" s="30">
        <f>314.56</f>
        <v>314.56</v>
      </c>
      <c r="I417" s="150"/>
      <c r="J417" s="130"/>
    </row>
    <row r="418" spans="1:10" ht="14.15" customHeight="1" x14ac:dyDescent="0.35">
      <c r="A418" s="218"/>
      <c r="B418" s="72"/>
      <c r="C418" s="29" t="s">
        <v>11</v>
      </c>
      <c r="D418" s="221"/>
      <c r="E418" s="30">
        <f>4.266</f>
        <v>4.266</v>
      </c>
      <c r="F418" s="30">
        <f>100.10934</f>
        <v>100.10934</v>
      </c>
      <c r="G418" s="108"/>
      <c r="H418" s="30">
        <f>103.7368</f>
        <v>103.7368</v>
      </c>
      <c r="I418" s="150"/>
      <c r="J418" s="130"/>
    </row>
    <row r="419" spans="1:10" ht="14.15" customHeight="1" x14ac:dyDescent="0.35">
      <c r="A419" s="218"/>
      <c r="B419" s="72"/>
      <c r="C419" s="265" t="s">
        <v>112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5" customHeight="1" x14ac:dyDescent="0.3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5" customHeight="1" x14ac:dyDescent="0.3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5" customHeight="1" x14ac:dyDescent="0.3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5" customHeight="1" x14ac:dyDescent="0.3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38.083500000000001</v>
      </c>
      <c r="F423" s="40">
        <f>F413+F416+F419+F422</f>
        <v>1403.2767200000001</v>
      </c>
      <c r="G423" s="41">
        <f>D423-F423</f>
        <v>1277.7232799999999</v>
      </c>
      <c r="H423" s="40">
        <f>H413+H416+H419+H422</f>
        <v>1406.69803</v>
      </c>
      <c r="I423" s="27"/>
      <c r="J423" s="130"/>
    </row>
    <row r="424" spans="1:10" ht="42" customHeight="1" x14ac:dyDescent="0.35">
      <c r="A424" s="218"/>
      <c r="B424" s="72"/>
      <c r="C424" s="292" t="s">
        <v>117</v>
      </c>
      <c r="D424" s="292"/>
      <c r="E424" s="292"/>
      <c r="F424" s="292"/>
      <c r="G424" s="292"/>
      <c r="H424" s="292"/>
      <c r="I424" s="292"/>
      <c r="J424" s="293"/>
    </row>
    <row r="425" spans="1:10" ht="14.15" customHeight="1" x14ac:dyDescent="0.3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35"/>
    <row r="427" spans="1:10" ht="0" hidden="1" customHeight="1" x14ac:dyDescent="0.35"/>
    <row r="428" spans="1:10" ht="0" hidden="1" customHeight="1" x14ac:dyDescent="0.35"/>
    <row r="429" spans="1:10" ht="0" hidden="1" customHeight="1" x14ac:dyDescent="0.35"/>
    <row r="430" spans="1:10" ht="0" hidden="1" customHeight="1" x14ac:dyDescent="0.35"/>
    <row r="431" spans="1:10" ht="0" hidden="1" customHeight="1" x14ac:dyDescent="0.35"/>
    <row r="432" spans="1:10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  <row r="65544" ht="0" hidden="1" customHeight="1" x14ac:dyDescent="0.35"/>
    <row r="65545" ht="0" hidden="1" customHeight="1" x14ac:dyDescent="0.35"/>
    <row r="65546" ht="0" hidden="1" customHeight="1" x14ac:dyDescent="0.35"/>
    <row r="65547" ht="0" hidden="1" customHeight="1" x14ac:dyDescent="0.35"/>
    <row r="65548" ht="0" hidden="1" customHeight="1" x14ac:dyDescent="0.35"/>
    <row r="65549" ht="0" hidden="1" customHeight="1" x14ac:dyDescent="0.35"/>
    <row r="65550" ht="0" hidden="1" customHeight="1" x14ac:dyDescent="0.35"/>
    <row r="65551" ht="0" hidden="1" customHeight="1" x14ac:dyDescent="0.35"/>
    <row r="65552" ht="0" hidden="1" customHeight="1" x14ac:dyDescent="0.35"/>
    <row r="65553" ht="0" hidden="1" customHeight="1" x14ac:dyDescent="0.35"/>
    <row r="65554" ht="0" hidden="1" customHeight="1" x14ac:dyDescent="0.35"/>
    <row r="65555" ht="0" hidden="1" customHeight="1" x14ac:dyDescent="0.35"/>
    <row r="65556" ht="0" hidden="1" customHeight="1" x14ac:dyDescent="0.35"/>
    <row r="65557" ht="0" hidden="1" customHeight="1" x14ac:dyDescent="0.35"/>
    <row r="65558" ht="0" hidden="1" customHeight="1" x14ac:dyDescent="0.35"/>
    <row r="65559" ht="0" hidden="1" customHeight="1" x14ac:dyDescent="0.35"/>
    <row r="65560" ht="0" hidden="1" customHeight="1" x14ac:dyDescent="0.35"/>
    <row r="65561" ht="0" hidden="1" customHeight="1" x14ac:dyDescent="0.35"/>
    <row r="65562" ht="0" hidden="1" customHeight="1" x14ac:dyDescent="0.35"/>
    <row r="65563" ht="0" hidden="1" customHeight="1" x14ac:dyDescent="0.35"/>
    <row r="65564" ht="0" hidden="1" customHeight="1" x14ac:dyDescent="0.35"/>
    <row r="65565" ht="0" hidden="1" customHeight="1" x14ac:dyDescent="0.35"/>
    <row r="65566" ht="0" hidden="1" customHeight="1" x14ac:dyDescent="0.35"/>
    <row r="65567" ht="0" hidden="1" customHeight="1" x14ac:dyDescent="0.35"/>
    <row r="65568" ht="0" hidden="1" customHeight="1" x14ac:dyDescent="0.35"/>
    <row r="65569" ht="0" hidden="1" customHeight="1" x14ac:dyDescent="0.35"/>
    <row r="65570" ht="0" hidden="1" customHeight="1" x14ac:dyDescent="0.35"/>
    <row r="65571" ht="0" hidden="1" customHeight="1" x14ac:dyDescent="0.35"/>
    <row r="65572" ht="0" hidden="1" customHeight="1" x14ac:dyDescent="0.35"/>
    <row r="65573" ht="0" hidden="1" customHeight="1" x14ac:dyDescent="0.35"/>
    <row r="65574" ht="0" hidden="1" customHeight="1" x14ac:dyDescent="0.35"/>
    <row r="65575" ht="0" hidden="1" customHeight="1" x14ac:dyDescent="0.35"/>
    <row r="65576" ht="0" hidden="1" customHeight="1" x14ac:dyDescent="0.35"/>
    <row r="65577" ht="0" hidden="1" customHeight="1" x14ac:dyDescent="0.35"/>
    <row r="65578" ht="0" hidden="1" customHeight="1" x14ac:dyDescent="0.35"/>
    <row r="65579" ht="0" hidden="1" customHeight="1" x14ac:dyDescent="0.35"/>
    <row r="65580" ht="0" hidden="1" customHeight="1" x14ac:dyDescent="0.35"/>
    <row r="65581" ht="0" hidden="1" customHeight="1" x14ac:dyDescent="0.35"/>
    <row r="65582" ht="0" hidden="1" customHeight="1" x14ac:dyDescent="0.35"/>
    <row r="65583" ht="0" hidden="1" customHeight="1" x14ac:dyDescent="0.35"/>
    <row r="65584" ht="0" hidden="1" customHeight="1" x14ac:dyDescent="0.35"/>
    <row r="65585" ht="0" hidden="1" customHeight="1" x14ac:dyDescent="0.35"/>
    <row r="65586" ht="0" hidden="1" customHeight="1" x14ac:dyDescent="0.35"/>
    <row r="65587" ht="0" hidden="1" customHeight="1" x14ac:dyDescent="0.35"/>
    <row r="65588" ht="0" hidden="1" customHeight="1" x14ac:dyDescent="0.35"/>
    <row r="65589" ht="0" hidden="1" customHeight="1" x14ac:dyDescent="0.35"/>
    <row r="65590" ht="0" hidden="1" customHeight="1" x14ac:dyDescent="0.35"/>
    <row r="65591" ht="0" hidden="1" customHeight="1" x14ac:dyDescent="0.35"/>
    <row r="65592" ht="0" hidden="1" customHeight="1" x14ac:dyDescent="0.35"/>
    <row r="65593" ht="0" hidden="1" customHeight="1" x14ac:dyDescent="0.35"/>
    <row r="65594" ht="0" hidden="1" customHeight="1" x14ac:dyDescent="0.35"/>
    <row r="65595" ht="0" hidden="1" customHeight="1" x14ac:dyDescent="0.35"/>
    <row r="65596" ht="0" hidden="1" customHeight="1" x14ac:dyDescent="0.35"/>
    <row r="65597" ht="0" hidden="1" customHeight="1" x14ac:dyDescent="0.35"/>
    <row r="65598" ht="0" hidden="1" customHeight="1" x14ac:dyDescent="0.35"/>
    <row r="65599" ht="0" hidden="1" customHeight="1" x14ac:dyDescent="0.35"/>
    <row r="65600" ht="0" hidden="1" customHeight="1" x14ac:dyDescent="0.35"/>
    <row r="65601" ht="0" hidden="1" customHeight="1" x14ac:dyDescent="0.35"/>
    <row r="65602" ht="0" hidden="1" customHeight="1" x14ac:dyDescent="0.35"/>
    <row r="65603" ht="0" hidden="1" customHeight="1" x14ac:dyDescent="0.35"/>
    <row r="65604" ht="0" hidden="1" customHeight="1" x14ac:dyDescent="0.35"/>
    <row r="65605" ht="0" hidden="1" customHeight="1" x14ac:dyDescent="0.35"/>
    <row r="65606" ht="0" hidden="1" customHeight="1" x14ac:dyDescent="0.35"/>
    <row r="65607" ht="0" hidden="1" customHeight="1" x14ac:dyDescent="0.35"/>
    <row r="65608" ht="0" hidden="1" customHeight="1" x14ac:dyDescent="0.35"/>
    <row r="65609" ht="0" hidden="1" customHeight="1" x14ac:dyDescent="0.35"/>
    <row r="65610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51&amp;R23.12.2024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2024-12-23T10:22:07Z</dcterms:modified>
</cp:coreProperties>
</file>