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0A181E35-FB8D-42F3-A6E0-1C2159592B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331" i="1"/>
  <c r="H329" i="1"/>
  <c r="F329" i="1"/>
  <c r="E329" i="1"/>
  <c r="H328" i="1"/>
  <c r="H327" i="1" s="1"/>
  <c r="F328" i="1"/>
  <c r="F327" i="1" s="1"/>
  <c r="G327" i="1" s="1"/>
  <c r="E328" i="1"/>
  <c r="E327" i="1" s="1"/>
  <c r="H326" i="1"/>
  <c r="F326" i="1"/>
  <c r="F324" i="1" s="1"/>
  <c r="G324" i="1" s="1"/>
  <c r="E326" i="1"/>
  <c r="E324" i="1" s="1"/>
  <c r="H325" i="1"/>
  <c r="H324" i="1" s="1"/>
  <c r="F325" i="1"/>
  <c r="E325" i="1"/>
  <c r="H323" i="1"/>
  <c r="H321" i="1" s="1"/>
  <c r="F323" i="1"/>
  <c r="E323" i="1"/>
  <c r="H322" i="1"/>
  <c r="F322" i="1"/>
  <c r="E322" i="1"/>
  <c r="F321" i="1"/>
  <c r="G321" i="1" s="1"/>
  <c r="E321" i="1"/>
  <c r="E331" i="1" s="1"/>
  <c r="E299" i="1"/>
  <c r="D299" i="1"/>
  <c r="I298" i="1"/>
  <c r="H298" i="1"/>
  <c r="G298" i="1"/>
  <c r="F298" i="1"/>
  <c r="I297" i="1"/>
  <c r="G297" i="1"/>
  <c r="H297" i="1" s="1"/>
  <c r="F297" i="1"/>
  <c r="I296" i="1"/>
  <c r="I294" i="1" s="1"/>
  <c r="G296" i="1"/>
  <c r="F296" i="1"/>
  <c r="I295" i="1"/>
  <c r="G295" i="1"/>
  <c r="F295" i="1"/>
  <c r="G294" i="1"/>
  <c r="H294" i="1" s="1"/>
  <c r="F294" i="1"/>
  <c r="I293" i="1"/>
  <c r="G293" i="1"/>
  <c r="H293" i="1" s="1"/>
  <c r="F293" i="1"/>
  <c r="I292" i="1"/>
  <c r="G292" i="1"/>
  <c r="H292" i="1" s="1"/>
  <c r="F292" i="1"/>
  <c r="I291" i="1"/>
  <c r="G291" i="1"/>
  <c r="H291" i="1" s="1"/>
  <c r="F291" i="1"/>
  <c r="I290" i="1"/>
  <c r="G290" i="1"/>
  <c r="H290" i="1" s="1"/>
  <c r="F290" i="1"/>
  <c r="I289" i="1"/>
  <c r="G289" i="1"/>
  <c r="H289" i="1" s="1"/>
  <c r="F289" i="1"/>
  <c r="I288" i="1"/>
  <c r="F288" i="1"/>
  <c r="F299" i="1" s="1"/>
  <c r="E288" i="1"/>
  <c r="D288" i="1"/>
  <c r="H280" i="1"/>
  <c r="F280" i="1"/>
  <c r="D262" i="1"/>
  <c r="H261" i="1"/>
  <c r="F261" i="1"/>
  <c r="E261" i="1"/>
  <c r="H260" i="1"/>
  <c r="F260" i="1"/>
  <c r="G260" i="1" s="1"/>
  <c r="E260" i="1"/>
  <c r="H259" i="1"/>
  <c r="F259" i="1"/>
  <c r="G259" i="1" s="1"/>
  <c r="E259" i="1"/>
  <c r="H258" i="1"/>
  <c r="H262" i="1" s="1"/>
  <c r="F258" i="1"/>
  <c r="G258" i="1" s="1"/>
  <c r="E258" i="1"/>
  <c r="E262" i="1" s="1"/>
  <c r="D251" i="1"/>
  <c r="D207" i="1"/>
  <c r="G206" i="1"/>
  <c r="H205" i="1"/>
  <c r="H207" i="1" s="1"/>
  <c r="F205" i="1"/>
  <c r="G205" i="1" s="1"/>
  <c r="E205" i="1"/>
  <c r="H204" i="1"/>
  <c r="F204" i="1"/>
  <c r="F207" i="1" s="1"/>
  <c r="E204" i="1"/>
  <c r="E207" i="1" s="1"/>
  <c r="D184" i="1"/>
  <c r="H182" i="1"/>
  <c r="F182" i="1"/>
  <c r="G182" i="1" s="1"/>
  <c r="E182" i="1"/>
  <c r="H181" i="1"/>
  <c r="F181" i="1"/>
  <c r="E181" i="1"/>
  <c r="H180" i="1"/>
  <c r="F180" i="1"/>
  <c r="E180" i="1"/>
  <c r="E178" i="1" s="1"/>
  <c r="H179" i="1"/>
  <c r="H178" i="1" s="1"/>
  <c r="H184" i="1" s="1"/>
  <c r="F179" i="1"/>
  <c r="F178" i="1" s="1"/>
  <c r="G178" i="1" s="1"/>
  <c r="E179" i="1"/>
  <c r="H177" i="1"/>
  <c r="F177" i="1"/>
  <c r="G177" i="1" s="1"/>
  <c r="E177" i="1"/>
  <c r="H176" i="1"/>
  <c r="F176" i="1"/>
  <c r="E176" i="1"/>
  <c r="H175" i="1"/>
  <c r="F175" i="1"/>
  <c r="G175" i="1" s="1"/>
  <c r="E175" i="1"/>
  <c r="E184" i="1" s="1"/>
  <c r="D150" i="1"/>
  <c r="H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I139" i="1" s="1"/>
  <c r="G140" i="1"/>
  <c r="H140" i="1" s="1"/>
  <c r="F140" i="1"/>
  <c r="F139" i="1" s="1"/>
  <c r="E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I134" i="1"/>
  <c r="I133" i="1" s="1"/>
  <c r="G134" i="1"/>
  <c r="E134" i="1"/>
  <c r="E133" i="1"/>
  <c r="E150" i="1" s="1"/>
  <c r="I132" i="1"/>
  <c r="F132" i="1"/>
  <c r="H131" i="1"/>
  <c r="I130" i="1"/>
  <c r="G130" i="1"/>
  <c r="H130" i="1" s="1"/>
  <c r="F130" i="1"/>
  <c r="I129" i="1"/>
  <c r="G129" i="1"/>
  <c r="H129" i="1" s="1"/>
  <c r="H128" i="1" s="1"/>
  <c r="F129" i="1"/>
  <c r="I128" i="1"/>
  <c r="G128" i="1"/>
  <c r="F128" i="1"/>
  <c r="E128" i="1"/>
  <c r="C126" i="1"/>
  <c r="D107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F96" i="1" s="1"/>
  <c r="F95" i="1" s="1"/>
  <c r="I97" i="1"/>
  <c r="I96" i="1" s="1"/>
  <c r="I95" i="1" s="1"/>
  <c r="H97" i="1"/>
  <c r="G97" i="1"/>
  <c r="F97" i="1"/>
  <c r="G96" i="1"/>
  <c r="G95" i="1" s="1"/>
  <c r="E96" i="1"/>
  <c r="E95" i="1" s="1"/>
  <c r="E107" i="1" s="1"/>
  <c r="I94" i="1"/>
  <c r="G94" i="1"/>
  <c r="H94" i="1" s="1"/>
  <c r="H92" i="1" s="1"/>
  <c r="F94" i="1"/>
  <c r="I93" i="1"/>
  <c r="G93" i="1"/>
  <c r="H93" i="1" s="1"/>
  <c r="F93" i="1"/>
  <c r="I92" i="1"/>
  <c r="I107" i="1" s="1"/>
  <c r="F92" i="1"/>
  <c r="E92" i="1"/>
  <c r="C89" i="1"/>
  <c r="H85" i="1"/>
  <c r="F85" i="1"/>
  <c r="D85" i="1"/>
  <c r="G61" i="1"/>
  <c r="G60" i="1"/>
  <c r="H55" i="1"/>
  <c r="I32" i="1" s="1"/>
  <c r="F55" i="1"/>
  <c r="G55" i="1" s="1"/>
  <c r="E55" i="1"/>
  <c r="F32" i="1" s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I34" i="1" s="1"/>
  <c r="G36" i="1"/>
  <c r="G34" i="1" s="1"/>
  <c r="F36" i="1"/>
  <c r="F34" i="1" s="1"/>
  <c r="I35" i="1"/>
  <c r="G35" i="1"/>
  <c r="H35" i="1" s="1"/>
  <c r="F35" i="1"/>
  <c r="E34" i="1"/>
  <c r="I33" i="1"/>
  <c r="H33" i="1"/>
  <c r="G33" i="1"/>
  <c r="F33" i="1"/>
  <c r="G32" i="1"/>
  <c r="H32" i="1" s="1"/>
  <c r="I31" i="1"/>
  <c r="H31" i="1"/>
  <c r="G31" i="1"/>
  <c r="F31" i="1"/>
  <c r="F27" i="1" s="1"/>
  <c r="I30" i="1"/>
  <c r="G30" i="1"/>
  <c r="H30" i="1" s="1"/>
  <c r="F30" i="1"/>
  <c r="I29" i="1"/>
  <c r="H29" i="1"/>
  <c r="G29" i="1"/>
  <c r="F29" i="1"/>
  <c r="I28" i="1"/>
  <c r="I27" i="1" s="1"/>
  <c r="G28" i="1"/>
  <c r="H28" i="1" s="1"/>
  <c r="F28" i="1"/>
  <c r="E27" i="1"/>
  <c r="E26" i="1" s="1"/>
  <c r="I25" i="1"/>
  <c r="G25" i="1"/>
  <c r="H25" i="1" s="1"/>
  <c r="F25" i="1"/>
  <c r="F23" i="1" s="1"/>
  <c r="I24" i="1"/>
  <c r="I23" i="1" s="1"/>
  <c r="G24" i="1"/>
  <c r="H24" i="1" s="1"/>
  <c r="F24" i="1"/>
  <c r="G23" i="1"/>
  <c r="E23" i="1"/>
  <c r="E44" i="1" s="1"/>
  <c r="H16" i="1"/>
  <c r="F16" i="1"/>
  <c r="D16" i="1"/>
  <c r="F44" i="1" l="1"/>
  <c r="H23" i="1"/>
  <c r="H134" i="1"/>
  <c r="I299" i="1"/>
  <c r="H331" i="1"/>
  <c r="F26" i="1"/>
  <c r="G331" i="1"/>
  <c r="F107" i="1"/>
  <c r="G26" i="1"/>
  <c r="G44" i="1" s="1"/>
  <c r="H34" i="1"/>
  <c r="H96" i="1"/>
  <c r="H95" i="1" s="1"/>
  <c r="H107" i="1" s="1"/>
  <c r="F133" i="1"/>
  <c r="F150" i="1" s="1"/>
  <c r="H139" i="1"/>
  <c r="H288" i="1"/>
  <c r="H299" i="1" s="1"/>
  <c r="H27" i="1"/>
  <c r="I26" i="1"/>
  <c r="I44" i="1" s="1"/>
  <c r="I150" i="1"/>
  <c r="G207" i="1"/>
  <c r="F262" i="1"/>
  <c r="G262" i="1" s="1"/>
  <c r="G204" i="1"/>
  <c r="G27" i="1"/>
  <c r="G92" i="1"/>
  <c r="G107" i="1" s="1"/>
  <c r="H36" i="1"/>
  <c r="F184" i="1"/>
  <c r="G184" i="1" s="1"/>
  <c r="G139" i="1"/>
  <c r="G133" i="1" s="1"/>
  <c r="G150" i="1" s="1"/>
  <c r="F331" i="1"/>
  <c r="G288" i="1"/>
  <c r="G299" i="1" s="1"/>
  <c r="H26" i="1" l="1"/>
  <c r="H133" i="1"/>
  <c r="H150" i="1" s="1"/>
  <c r="H44" i="1"/>
</calcChain>
</file>

<file path=xl/sharedStrings.xml><?xml version="1.0" encoding="utf-8"?>
<sst xmlns="http://schemas.openxmlformats.org/spreadsheetml/2006/main" count="328" uniqueCount="146">
  <si>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</si>
  <si>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</si>
  <si>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</si>
  <si>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</si>
  <si>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</si>
  <si>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</si>
  <si>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</si>
  <si>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</si>
  <si>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</si>
  <si>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</si>
  <si>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</si>
  <si>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</si>
  <si>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</si>
  <si>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</si>
  <si>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</si>
  <si>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</si>
  <si>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</si>
  <si>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</si>
  <si>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</si>
  <si>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</si>
  <si>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</si>
  <si>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</si>
  <si>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</si>
  <si>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</si>
  <si>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</si>
  <si>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</si>
  <si>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</si>
  <si>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</si>
  <si>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</si>
  <si>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</si>
  <si>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</si>
  <si>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</si>
  <si>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</si>
  <si>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</si>
  <si>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</si>
  <si>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</si>
  <si>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</si>
  <si>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</si>
  <si>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</si>
  <si>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</si>
  <si>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</si>
  <si>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</si>
  <si>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</si>
  <si>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</si>
  <si>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</si>
  <si>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</si>
  <si>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</si>
  <si>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</si>
  <si>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</si>
  <si>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</si>
  <si>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</si>
  <si>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</si>
  <si>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</si>
  <si>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</si>
  <si>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</si>
  <si>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</si>
  <si>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</si>
  <si>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</si>
  <si>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</si>
  <si>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</si>
  <si>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</si>
  <si>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</si>
  <si>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</si>
  <si>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</si>
  <si>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</si>
  <si>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</si>
  <si>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</si>
  <si>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</si>
  <si>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</si>
  <si>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</si>
  <si>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</si>
  <si>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</si>
  <si>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</si>
  <si>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</si>
  <si>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</si>
  <si>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</si>
  <si>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</si>
  <si>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</si>
  <si>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</si>
  <si>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</si>
  <si>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</si>
  <si>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</si>
  <si>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</si>
  <si>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</si>
  <si>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</si>
  <si>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</si>
  <si>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</si>
  <si>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</si>
  <si>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</si>
  <si>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</si>
  <si>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</si>
  <si>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</si>
  <si>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</si>
  <si>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</si>
  <si>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</si>
  <si>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</si>
  <si>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</si>
  <si>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</si>
  <si>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</si>
  <si>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</si>
  <si>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</si>
  <si>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</si>
  <si>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</si>
  <si>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</si>
  <si>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</si>
  <si>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</si>
  <si>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</si>
  <si>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</si>
  <si>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</si>
  <si>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</si>
  <si>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</si>
  <si>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</si>
  <si>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</si>
  <si>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</si>
  <si>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</si>
  <si>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</si>
  <si>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</si>
  <si>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</si>
  <si>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</si>
  <si>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</si>
  <si>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</si>
  <si>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</si>
  <si>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</si>
  <si>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</si>
  <si>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</si>
  <si>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</si>
  <si>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</si>
  <si>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</si>
  <si>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</si>
  <si>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</si>
  <si>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</si>
  <si>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</si>
  <si>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</si>
  <si>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</si>
  <si>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</si>
  <si>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</si>
  <si>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</si>
  <si>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</si>
  <si>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t>FANGST UKE 4</t>
  </si>
  <si>
    <t>FANGST T.O.M UKE 4</t>
  </si>
  <si>
    <t>RESTKVOTER UKE 4</t>
  </si>
  <si>
    <t>FANGST T.O.M UKE 4 2022</t>
  </si>
  <si>
    <r>
      <t xml:space="preserve">3 </t>
    </r>
    <r>
      <rPr>
        <sz val="9"/>
        <color indexed="8"/>
        <rFont val="Calibri"/>
        <family val="2"/>
      </rPr>
      <t>Registrert rekreasjonsfiske utgjør 27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</si>
  <si>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2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</si>
  <si>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19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</si>
  <si>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196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</si>
</sst>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/>
    <xf numFmtId="0" fontId="25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topLeftCell="A94" zoomScale="85" zoomScaleNormal="85" zoomScaleSheetLayoutView="100" zoomScalePageLayoutView="85" workbookViewId="0">
      <selection activeCell="H111" sqref="H111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0" t="s">
        <v>137</v>
      </c>
      <c r="C2" s="291"/>
      <c r="D2" s="291"/>
      <c r="E2" s="291"/>
      <c r="F2" s="291"/>
      <c r="G2" s="291"/>
      <c r="H2" s="291"/>
      <c r="I2" s="291"/>
      <c r="J2" s="292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3"/>
      <c r="C9" s="294"/>
      <c r="D9" s="294"/>
      <c r="E9" s="294"/>
      <c r="F9" s="294"/>
      <c r="G9" s="294"/>
      <c r="H9" s="294"/>
      <c r="I9" s="294"/>
      <c r="J9" s="295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77193</v>
      </c>
      <c r="G12" s="117" t="s">
        <v>5</v>
      </c>
      <c r="H12" s="116">
        <v>21013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164035</v>
      </c>
      <c r="G13" s="117" t="s">
        <v>8</v>
      </c>
      <c r="H13" s="119">
        <v>117222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14760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260782</v>
      </c>
      <c r="G16" s="180" t="s">
        <v>7</v>
      </c>
      <c r="H16" s="192">
        <f>SUM(H12:H15)</f>
        <v>164035</v>
      </c>
      <c r="J16" s="242"/>
    </row>
    <row r="17" spans="1:10" ht="15" customHeight="1" x14ac:dyDescent="0.25">
      <c r="A17" s="101"/>
      <c r="B17" s="24"/>
      <c r="C17" s="101"/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138</v>
      </c>
      <c r="G22" s="68" t="s">
        <v>139</v>
      </c>
      <c r="H22" s="68" t="s">
        <v>140</v>
      </c>
      <c r="I22" s="68" t="s">
        <v>141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77193</v>
      </c>
      <c r="E23" s="28">
        <f t="shared" ref="E23:I23" si="0">E25+E24</f>
        <v>77193</v>
      </c>
      <c r="F23" s="28">
        <f t="shared" si="0"/>
        <v>1964.4919500000001</v>
      </c>
      <c r="G23" s="28">
        <f t="shared" si="0"/>
        <v>5039.5346600000003</v>
      </c>
      <c r="H23" s="11">
        <f t="shared" si="0"/>
        <v>72153.465339999995</v>
      </c>
      <c r="I23" s="11">
        <f t="shared" si="0"/>
        <v>6685.7515899999999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76443</v>
      </c>
      <c r="E24" s="48">
        <v>76443</v>
      </c>
      <c r="F24" s="23">
        <f>1946.25045</f>
        <v>1946.25045</v>
      </c>
      <c r="G24" s="23">
        <f>4992.75266</f>
        <v>4992.7526600000001</v>
      </c>
      <c r="H24" s="23">
        <f>E24-G24</f>
        <v>71450.247340000002</v>
      </c>
      <c r="I24" s="23">
        <f>6646.84631</f>
        <v>6646.8463099999999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750</v>
      </c>
      <c r="F25" s="173">
        <f>18.2415</f>
        <v>18.241499999999998</v>
      </c>
      <c r="G25" s="23">
        <f>46.782</f>
        <v>46.781999999999996</v>
      </c>
      <c r="H25" s="23">
        <f>E25-G25</f>
        <v>703.21799999999996</v>
      </c>
      <c r="I25" s="23">
        <f>38.90528</f>
        <v>38.905279999999998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169338</v>
      </c>
      <c r="E26" s="28">
        <f t="shared" ref="E26:I26" si="1">E34+E33+E27</f>
        <v>169338</v>
      </c>
      <c r="F26" s="28">
        <f t="shared" si="1"/>
        <v>1555.8263999999999</v>
      </c>
      <c r="G26" s="11">
        <f t="shared" si="1"/>
        <v>7634.6025900000004</v>
      </c>
      <c r="H26" s="11">
        <f t="shared" si="1"/>
        <v>161703.39740999998</v>
      </c>
      <c r="I26" s="11">
        <f t="shared" si="1"/>
        <v>11208.425080000001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132365</v>
      </c>
      <c r="E27" s="60">
        <f t="shared" ref="E27:I27" si="2">E28+E29+E30+E31+E32</f>
        <v>132365</v>
      </c>
      <c r="F27" s="134">
        <f>F28+F29+F30+F31+F32</f>
        <v>822.71228999999994</v>
      </c>
      <c r="G27" s="134">
        <f t="shared" si="2"/>
        <v>5412.55609</v>
      </c>
      <c r="H27" s="134">
        <f t="shared" si="2"/>
        <v>126952.44390999999</v>
      </c>
      <c r="I27" s="134">
        <f t="shared" si="2"/>
        <v>8561.8909199999998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31737</v>
      </c>
      <c r="E28" s="65">
        <v>31737</v>
      </c>
      <c r="F28" s="205">
        <f>58.37102</f>
        <v>58.371020000000001</v>
      </c>
      <c r="G28" s="129">
        <f>1470.09219 - F57</f>
        <v>1470.0921900000001</v>
      </c>
      <c r="H28" s="129">
        <f t="shared" ref="H28:H40" si="3">E28-G28</f>
        <v>30266.907810000001</v>
      </c>
      <c r="I28" s="129">
        <f>1826.84102 - H57</f>
        <v>1826.8410200000001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35412</v>
      </c>
      <c r="E29" s="65">
        <v>35412</v>
      </c>
      <c r="F29" s="129">
        <f>300.11609</f>
        <v>300.11608999999999</v>
      </c>
      <c r="G29" s="129">
        <f>2148.24573 - F58</f>
        <v>2148.2457300000001</v>
      </c>
      <c r="H29" s="129">
        <f t="shared" si="3"/>
        <v>33263.754269999998</v>
      </c>
      <c r="I29" s="129">
        <f>3287.84136 - H58</f>
        <v>3287.8413599999999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32013</v>
      </c>
      <c r="E30" s="65">
        <v>32013</v>
      </c>
      <c r="F30" s="129">
        <f>298.6863</f>
        <v>298.68630000000002</v>
      </c>
      <c r="G30" s="129">
        <f>1146.21137 - F59</f>
        <v>1146.21137</v>
      </c>
      <c r="H30" s="129">
        <f t="shared" si="3"/>
        <v>30866.788629999999</v>
      </c>
      <c r="I30" s="129">
        <f>1978.69358 - H59</f>
        <v>1978.6935800000001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23363</v>
      </c>
      <c r="E31" s="65">
        <v>23363</v>
      </c>
      <c r="F31" s="129">
        <f>165.53888</f>
        <v>165.53888000000001</v>
      </c>
      <c r="G31" s="129">
        <f>648.0068 - F60</f>
        <v>648.0068</v>
      </c>
      <c r="H31" s="129">
        <f t="shared" si="3"/>
        <v>22714.993200000001</v>
      </c>
      <c r="I31" s="129">
        <f>1468.51496 - H60</f>
        <v>1468.51496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9840</v>
      </c>
      <c r="F32" s="129">
        <f>E55</f>
        <v>0</v>
      </c>
      <c r="G32" s="129">
        <f>F55</f>
        <v>0</v>
      </c>
      <c r="H32" s="129">
        <f t="shared" si="3"/>
        <v>9840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21013</v>
      </c>
      <c r="E33" s="60">
        <v>21013</v>
      </c>
      <c r="F33" s="134">
        <f>678.61609</f>
        <v>678.61608999999999</v>
      </c>
      <c r="G33" s="134">
        <f>1610.22935</f>
        <v>1610.2293500000001</v>
      </c>
      <c r="H33" s="134">
        <f t="shared" si="3"/>
        <v>19402.770649999999</v>
      </c>
      <c r="I33" s="134">
        <f>2233.46011</f>
        <v>2233.46011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15960</v>
      </c>
      <c r="E34" s="60">
        <f>E35+E36</f>
        <v>15960</v>
      </c>
      <c r="F34" s="134">
        <f>F35+F36</f>
        <v>54.498019999999997</v>
      </c>
      <c r="G34" s="134">
        <f>G35+G36</f>
        <v>611.81714999999997</v>
      </c>
      <c r="H34" s="134">
        <f t="shared" si="3"/>
        <v>15348.182849999999</v>
      </c>
      <c r="I34" s="134">
        <f>I35+I36</f>
        <v>413.07405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14760</v>
      </c>
      <c r="E35" s="65">
        <v>14760</v>
      </c>
      <c r="F35" s="129">
        <f>54.49802</f>
        <v>54.498019999999997</v>
      </c>
      <c r="G35" s="134">
        <f>611.81715 - F61 - F62</f>
        <v>611.81714999999997</v>
      </c>
      <c r="H35" s="129">
        <f t="shared" si="3"/>
        <v>14148.182849999999</v>
      </c>
      <c r="I35" s="129">
        <f>413.07405 - H61 - H62</f>
        <v>413.07405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0</f>
        <v>0</v>
      </c>
      <c r="H37" s="141">
        <f t="shared" si="3"/>
        <v>3000</v>
      </c>
      <c r="I37" s="141">
        <f>0</f>
        <v>0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2.11425</f>
        <v>2.1142500000000002</v>
      </c>
      <c r="G38" s="100">
        <f>6.39825</f>
        <v>6.39825</v>
      </c>
      <c r="H38" s="100">
        <f t="shared" si="3"/>
        <v>844.60175000000004</v>
      </c>
      <c r="I38" s="100">
        <f>18.3432</f>
        <v>18.3432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3000</v>
      </c>
      <c r="F39" s="100">
        <f>E61</f>
        <v>0</v>
      </c>
      <c r="G39" s="100">
        <f>F61</f>
        <v>0</v>
      </c>
      <c r="H39" s="100">
        <f t="shared" si="3"/>
        <v>3000</v>
      </c>
      <c r="I39" s="100">
        <f>H61</f>
        <v>0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4.44136</f>
        <v>4.4413600000000004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260782</v>
      </c>
      <c r="E44" s="78">
        <f t="shared" si="4"/>
        <v>260782</v>
      </c>
      <c r="F44" s="78">
        <f t="shared" si="4"/>
        <v>3526.8769599999996</v>
      </c>
      <c r="G44" s="78">
        <f t="shared" si="4"/>
        <v>19760.096500000029</v>
      </c>
      <c r="H44" s="78">
        <f t="shared" si="4"/>
        <v>241021.90349999996</v>
      </c>
      <c r="I44" s="78">
        <f t="shared" si="4"/>
        <v>25033.45829999998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142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8" t="s">
        <v>44</v>
      </c>
      <c r="D52" s="298"/>
      <c r="E52" s="298"/>
      <c r="F52" s="298"/>
      <c r="G52" s="298"/>
      <c r="H52" s="298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138</v>
      </c>
      <c r="F54" s="68" t="s">
        <v>139</v>
      </c>
      <c r="G54" s="68" t="s">
        <v>140</v>
      </c>
      <c r="H54" s="68" t="s">
        <v>141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9">
        <v>9840</v>
      </c>
      <c r="E55" s="11">
        <f>E59+E58+E57+E56</f>
        <v>0</v>
      </c>
      <c r="F55" s="11">
        <f>F59+F58+F57+F56</f>
        <v>0</v>
      </c>
      <c r="G55" s="299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300"/>
      <c r="E56" s="129"/>
      <c r="F56" s="129"/>
      <c r="G56" s="300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300"/>
      <c r="E57" s="129"/>
      <c r="F57" s="129"/>
      <c r="G57" s="300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300"/>
      <c r="E58" s="129"/>
      <c r="F58" s="129"/>
      <c r="G58" s="300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301"/>
      <c r="E59" s="194"/>
      <c r="F59" s="194"/>
      <c r="G59" s="301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/>
      <c r="F60" s="97"/>
      <c r="G60" s="97">
        <f>D60-F60</f>
        <v>1200</v>
      </c>
      <c r="H60" s="97"/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/>
      <c r="F61" s="141"/>
      <c r="G61" s="141">
        <f>D61-F61</f>
        <v>3000</v>
      </c>
      <c r="H61" s="141"/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6" t="s">
        <v>1</v>
      </c>
      <c r="D81" s="297"/>
      <c r="E81" s="296" t="s">
        <v>2</v>
      </c>
      <c r="F81" s="302"/>
      <c r="G81" s="296" t="s">
        <v>3</v>
      </c>
      <c r="H81" s="297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31131</v>
      </c>
      <c r="G82" s="193" t="s">
        <v>5</v>
      </c>
      <c r="H82" s="116">
        <v>9143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50792</v>
      </c>
      <c r="G83" s="193" t="s">
        <v>8</v>
      </c>
      <c r="H83" s="119">
        <v>37586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4063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84177</v>
      </c>
      <c r="G85" s="180" t="s">
        <v>7</v>
      </c>
      <c r="H85" s="192">
        <f>SUM(H82:H84)</f>
        <v>50792</v>
      </c>
      <c r="I85" s="181"/>
      <c r="J85" s="242"/>
    </row>
    <row r="86" spans="1:10" ht="14.25" customHeight="1" x14ac:dyDescent="0.25">
      <c r="A86" s="1"/>
      <c r="B86" s="252"/>
      <c r="C86" s="101"/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138</v>
      </c>
      <c r="G91" s="15" t="s">
        <v>139</v>
      </c>
      <c r="H91" s="15" t="s">
        <v>140</v>
      </c>
      <c r="I91" s="15" t="s">
        <v>141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31131</v>
      </c>
      <c r="E92" s="28">
        <f t="shared" ref="E92:I92" si="5">E94+E93</f>
        <v>31131</v>
      </c>
      <c r="F92" s="11">
        <f t="shared" si="5"/>
        <v>168.29862</v>
      </c>
      <c r="G92" s="11">
        <f t="shared" si="5"/>
        <v>746.58434</v>
      </c>
      <c r="H92" s="11">
        <f t="shared" si="5"/>
        <v>30384.415659999999</v>
      </c>
      <c r="I92" s="11">
        <f t="shared" si="5"/>
        <v>920.26733999999999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30381</v>
      </c>
      <c r="E93" s="48">
        <v>30381</v>
      </c>
      <c r="F93" s="23">
        <f>166.01242</f>
        <v>166.01241999999999</v>
      </c>
      <c r="G93" s="23">
        <f>733.39914</f>
        <v>733.39913999999999</v>
      </c>
      <c r="H93" s="23">
        <f>E93-G93</f>
        <v>29647.600859999999</v>
      </c>
      <c r="I93" s="23">
        <f>903.75819</f>
        <v>903.75819000000001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750</v>
      </c>
      <c r="F94" s="52">
        <f>2.2862</f>
        <v>2.2862</v>
      </c>
      <c r="G94" s="52">
        <f>13.1852</f>
        <v>13.1852</v>
      </c>
      <c r="H94" s="52">
        <f>E94-G94</f>
        <v>736.81479999999999</v>
      </c>
      <c r="I94" s="52">
        <f>16.50915</f>
        <v>16.509150000000002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v>52376</v>
      </c>
      <c r="E95" s="28">
        <f t="shared" ref="E95:I95" si="6">E96+E101+E102</f>
        <v>52376</v>
      </c>
      <c r="F95" s="11">
        <f t="shared" si="6"/>
        <v>619.12743</v>
      </c>
      <c r="G95" s="11">
        <f t="shared" si="6"/>
        <v>2246.3811999999998</v>
      </c>
      <c r="H95" s="11">
        <f t="shared" si="6"/>
        <v>50129.618799999997</v>
      </c>
      <c r="I95" s="11">
        <f t="shared" si="6"/>
        <v>2270.85853</v>
      </c>
      <c r="J95" s="242"/>
    </row>
    <row r="96" spans="1:10" ht="14.1" customHeight="1" x14ac:dyDescent="0.25">
      <c r="A96" s="1"/>
      <c r="B96" s="55"/>
      <c r="C96" s="59" t="s">
        <v>23</v>
      </c>
      <c r="D96" s="60">
        <v>39170</v>
      </c>
      <c r="E96" s="60">
        <f t="shared" ref="E96:I96" si="7">E97+E98+E99+E100</f>
        <v>39170</v>
      </c>
      <c r="F96" s="134">
        <f t="shared" si="7"/>
        <v>208.17900999999998</v>
      </c>
      <c r="G96" s="134">
        <f t="shared" si="7"/>
        <v>1418.7424899999999</v>
      </c>
      <c r="H96" s="134">
        <f t="shared" si="7"/>
        <v>37751.257509999996</v>
      </c>
      <c r="I96" s="134">
        <f t="shared" si="7"/>
        <v>1474.8142300000002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10461</v>
      </c>
      <c r="E97" s="65">
        <v>10461</v>
      </c>
      <c r="F97" s="129">
        <f>39.58</f>
        <v>39.58</v>
      </c>
      <c r="G97" s="129">
        <f>506.28348</f>
        <v>506.28348</v>
      </c>
      <c r="H97" s="129">
        <f t="shared" ref="H97:H104" si="8">E97-G97</f>
        <v>9954.7165199999999</v>
      </c>
      <c r="I97" s="129">
        <f>322.63199</f>
        <v>322.63198999999997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11156</v>
      </c>
      <c r="E98" s="65">
        <v>11156</v>
      </c>
      <c r="F98" s="129">
        <f>31.9318</f>
        <v>31.931799999999999</v>
      </c>
      <c r="G98" s="129">
        <f>523.20412</f>
        <v>523.20411999999999</v>
      </c>
      <c r="H98" s="129">
        <f t="shared" si="8"/>
        <v>10632.79588</v>
      </c>
      <c r="I98" s="129">
        <f>595.17187</f>
        <v>595.17187000000001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10513</v>
      </c>
      <c r="E99" s="65">
        <v>10513</v>
      </c>
      <c r="F99" s="129">
        <f>117.26419</f>
        <v>117.26419</v>
      </c>
      <c r="G99" s="129">
        <f>296.79578</f>
        <v>296.79577999999998</v>
      </c>
      <c r="H99" s="129">
        <f t="shared" si="8"/>
        <v>10216.20422</v>
      </c>
      <c r="I99" s="129">
        <f>352.66062</f>
        <v>352.66061999999999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7040</v>
      </c>
      <c r="E100" s="65">
        <v>7040</v>
      </c>
      <c r="F100" s="129">
        <f>19.40302</f>
        <v>19.403020000000001</v>
      </c>
      <c r="G100" s="129">
        <f>92.45911</f>
        <v>92.459109999999995</v>
      </c>
      <c r="H100" s="129">
        <f t="shared" si="8"/>
        <v>6947.5408900000002</v>
      </c>
      <c r="I100" s="129">
        <f>204.34975</f>
        <v>204.34975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9143</v>
      </c>
      <c r="E101" s="60">
        <v>9143</v>
      </c>
      <c r="F101" s="134">
        <f>388.92863</f>
        <v>388.92863</v>
      </c>
      <c r="G101" s="134">
        <f>589.9965</f>
        <v>589.99649999999997</v>
      </c>
      <c r="H101" s="134">
        <f t="shared" si="8"/>
        <v>8553.0035000000007</v>
      </c>
      <c r="I101" s="134">
        <f>699.81171</f>
        <v>699.81170999999995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4063</v>
      </c>
      <c r="E102" s="63">
        <v>4063</v>
      </c>
      <c r="F102" s="77">
        <f>22.01979</f>
        <v>22.01979</v>
      </c>
      <c r="G102" s="77">
        <f>237.64221</f>
        <v>237.64221000000001</v>
      </c>
      <c r="H102" s="77">
        <f t="shared" si="8"/>
        <v>3825.35779</v>
      </c>
      <c r="I102" s="77">
        <f>96.23259</f>
        <v>96.232590000000002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0.03612</f>
        <v>3.6119999999999999E-2</v>
      </c>
      <c r="G103" s="100">
        <f>0.15372</f>
        <v>0.15372</v>
      </c>
      <c r="H103" s="100">
        <f t="shared" si="8"/>
        <v>319.84627999999998</v>
      </c>
      <c r="I103" s="100">
        <f>5.58961</f>
        <v>5.5896100000000004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0.28748</f>
        <v>0.28748000000000001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84177</v>
      </c>
      <c r="E107" s="78">
        <f t="shared" ref="E107:I107" si="9">E92+E95+E103+E104+E105+E106</f>
        <v>84177</v>
      </c>
      <c r="F107" s="78">
        <f t="shared" si="9"/>
        <v>787.74964999999997</v>
      </c>
      <c r="G107" s="78">
        <f t="shared" si="9"/>
        <v>3301.8870599999864</v>
      </c>
      <c r="H107" s="78">
        <f t="shared" si="9"/>
        <v>80875.112940000006</v>
      </c>
      <c r="I107" s="78">
        <f t="shared" si="9"/>
        <v>3540.4502599999987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143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138</v>
      </c>
      <c r="G127" s="15" t="s">
        <v>139</v>
      </c>
      <c r="H127" s="15" t="s">
        <v>140</v>
      </c>
      <c r="I127" s="15" t="s">
        <v>141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77128</v>
      </c>
      <c r="F128" s="11">
        <f t="shared" si="10"/>
        <v>2367.8821900000003</v>
      </c>
      <c r="G128" s="11">
        <f t="shared" si="10"/>
        <v>6445.5088599999999</v>
      </c>
      <c r="H128" s="11">
        <f t="shared" si="10"/>
        <v>70682.491139999998</v>
      </c>
      <c r="I128" s="11">
        <f t="shared" si="10"/>
        <v>4820.6738100000002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61702</v>
      </c>
      <c r="F129" s="23">
        <f>1978.37074</f>
        <v>1978.3707400000001</v>
      </c>
      <c r="G129" s="23">
        <f>5773.06846</f>
        <v>5773.0684600000004</v>
      </c>
      <c r="H129" s="23">
        <f>E129-G129</f>
        <v>55928.931539999998</v>
      </c>
      <c r="I129" s="23">
        <f>4014.35565</f>
        <v>4014.35565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14926</v>
      </c>
      <c r="F130" s="23">
        <f>389.51145</f>
        <v>389.51145000000002</v>
      </c>
      <c r="G130" s="23">
        <f>672.4404</f>
        <v>672.44039999999995</v>
      </c>
      <c r="H130" s="23">
        <f>E130-G130</f>
        <v>14253.559600000001</v>
      </c>
      <c r="I130" s="23">
        <f>806.31816</f>
        <v>806.31816000000003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52113</v>
      </c>
      <c r="F132" s="97">
        <f>0.26</f>
        <v>0.26</v>
      </c>
      <c r="G132" s="97">
        <f>4.78295+196.13198</f>
        <v>200.91493</v>
      </c>
      <c r="H132" s="97">
        <f>E132-G132</f>
        <v>51912.085070000001</v>
      </c>
      <c r="I132" s="97">
        <f>9.111</f>
        <v>9.1110000000000007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80719</v>
      </c>
      <c r="F133" s="96">
        <f>F134+F139+F142</f>
        <v>902.6481399999999</v>
      </c>
      <c r="G133" s="96">
        <f t="shared" ref="G133" si="11">G134+G139+G142</f>
        <v>11559.391100000001</v>
      </c>
      <c r="H133" s="96">
        <f>H134+H139+H142</f>
        <v>69159.608899999992</v>
      </c>
      <c r="I133" s="96">
        <f>I134+I139+I142</f>
        <v>7132.3962600000004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60916</v>
      </c>
      <c r="F134" s="127">
        <f>F135+F136+F137+F138</f>
        <v>821.50599999999986</v>
      </c>
      <c r="G134" s="127">
        <f>G135+G136+G138+G137</f>
        <v>10788.85225</v>
      </c>
      <c r="H134" s="127">
        <f>H135+H136+H137+H138</f>
        <v>50127.147749999996</v>
      </c>
      <c r="I134" s="127">
        <f>I135+I136+I137+I138</f>
        <v>6754.3762100000004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16169</v>
      </c>
      <c r="F135" s="129">
        <f>144.61256</f>
        <v>144.61256</v>
      </c>
      <c r="G135" s="129">
        <v>2106.3484800000001</v>
      </c>
      <c r="H135" s="129">
        <f>E135-G135</f>
        <v>14062.651519999999</v>
      </c>
      <c r="I135" s="129">
        <f>1101.01179</f>
        <v>1101.01179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16559</v>
      </c>
      <c r="F136" s="129">
        <f>310.97351</f>
        <v>310.97350999999998</v>
      </c>
      <c r="G136" s="129">
        <v>2857.8492000000001</v>
      </c>
      <c r="H136" s="129">
        <f>E136-G136</f>
        <v>13701.150799999999</v>
      </c>
      <c r="I136" s="129">
        <f>1979.23989</f>
        <v>1979.2398900000001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15131</v>
      </c>
      <c r="F137" s="129">
        <f>153.86893</f>
        <v>153.86893000000001</v>
      </c>
      <c r="G137" s="129">
        <v>2711.3020299999998</v>
      </c>
      <c r="H137" s="129">
        <f>E137-G137</f>
        <v>12419.697970000001</v>
      </c>
      <c r="I137" s="129">
        <f>2412.06907</f>
        <v>2412.06907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13057</v>
      </c>
      <c r="F138" s="129">
        <f>212.051</f>
        <v>212.05099999999999</v>
      </c>
      <c r="G138" s="129">
        <v>3113.3525399999999</v>
      </c>
      <c r="H138" s="129">
        <f>E138-G138</f>
        <v>9943.6474600000001</v>
      </c>
      <c r="I138" s="129">
        <f>1262.05546</f>
        <v>1262.05546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8713</v>
      </c>
      <c r="F139" s="134">
        <f>SUM(F140:F141)</f>
        <v>10.176</v>
      </c>
      <c r="G139" s="134">
        <f>SUM(G140:G141)</f>
        <v>224.98104000000001</v>
      </c>
      <c r="H139" s="134">
        <f>H140+H141</f>
        <v>8488.0189600000012</v>
      </c>
      <c r="I139" s="134">
        <f>SUM(I140:I141)</f>
        <v>20.581050000000001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8213</v>
      </c>
      <c r="F140" s="129">
        <f>10.176</f>
        <v>10.176</v>
      </c>
      <c r="G140" s="129">
        <f>222.8784</f>
        <v>222.8784</v>
      </c>
      <c r="H140" s="129">
        <f t="shared" ref="H140:H147" si="12">E140-G140</f>
        <v>7990.1216000000004</v>
      </c>
      <c r="I140" s="129">
        <f>18.38025</f>
        <v>18.38025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0</f>
        <v>0</v>
      </c>
      <c r="G141" s="129">
        <f>2.10264</f>
        <v>2.1026400000000001</v>
      </c>
      <c r="H141" s="129">
        <f t="shared" si="12"/>
        <v>497.89735999999999</v>
      </c>
      <c r="I141" s="129">
        <f>2.2008</f>
        <v>2.2008000000000001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11090</v>
      </c>
      <c r="F142" s="77">
        <f>70.96614</f>
        <v>70.966139999999996</v>
      </c>
      <c r="G142" s="77">
        <f>545.55781</f>
        <v>545.55781000000002</v>
      </c>
      <c r="H142" s="77">
        <f t="shared" si="12"/>
        <v>10544.44219</v>
      </c>
      <c r="I142" s="77">
        <f>357.439</f>
        <v>357.43900000000002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0.54135</f>
        <v>0.54135</v>
      </c>
      <c r="G143" s="141">
        <f>0.9666</f>
        <v>0.96660000000000001</v>
      </c>
      <c r="H143" s="141">
        <f t="shared" si="12"/>
        <v>136.0334</v>
      </c>
      <c r="I143" s="141">
        <f>0.70283</f>
        <v>0.70282999999999995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2.06359</f>
        <v>2.06359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212542</v>
      </c>
      <c r="F150" s="78">
        <f>F128+F132+F133+F143+F144+F145+F146+F147+F148</f>
        <v>3273.3952700000004</v>
      </c>
      <c r="G150" s="78">
        <f>G128+G132+G133+G143+G144+G145+G146+G147+G148</f>
        <v>20206.781490000001</v>
      </c>
      <c r="H150" s="78">
        <f>H128+H132+H133+H143+H144+H145+H146+H147+H148</f>
        <v>192335.21850999998</v>
      </c>
      <c r="I150" s="78">
        <f>I128+I132+I133+I143+I144+I145+I146+I147+I148</f>
        <v>13962.883900000001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145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144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138</v>
      </c>
      <c r="F174" s="15" t="s">
        <v>139</v>
      </c>
      <c r="G174" s="56" t="s">
        <v>140</v>
      </c>
      <c r="H174" s="15" t="s">
        <v>141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26.79655</f>
        <v>26.79655</v>
      </c>
      <c r="F175" s="274">
        <f>159.32545</f>
        <v>159.32544999999999</v>
      </c>
      <c r="G175" s="45">
        <f>D175-F175-F176</f>
        <v>4745.2392199999995</v>
      </c>
      <c r="H175" s="274">
        <f>68.74027</f>
        <v>68.740269999999995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7.61974</f>
        <v>7.6197400000000002</v>
      </c>
      <c r="F176" s="154">
        <f>83.43533</f>
        <v>83.435329999999993</v>
      </c>
      <c r="G176" s="215"/>
      <c r="H176" s="154">
        <f>85.58851</f>
        <v>85.588509999999999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15.06384</f>
        <v>15.063840000000001</v>
      </c>
      <c r="G177" s="174">
        <f>D177-F177</f>
        <v>184.93616</v>
      </c>
      <c r="H177" s="174">
        <f>0.07136</f>
        <v>7.1360000000000007E-2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1.5640000000000001E-2</v>
      </c>
      <c r="F178" s="183">
        <f>F179+F180+F181</f>
        <v>1.109</v>
      </c>
      <c r="G178" s="183">
        <f>D178-F178</f>
        <v>7479.8909999999996</v>
      </c>
      <c r="H178" s="183">
        <f>H179+H180+H181</f>
        <v>3.8115000000000001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0.013</f>
        <v>1.2999999999999999E-2</v>
      </c>
      <c r="F179" s="129">
        <f>0.15146</f>
        <v>0.15146000000000001</v>
      </c>
      <c r="G179" s="129"/>
      <c r="H179" s="129">
        <f>0.06096</f>
        <v>6.096E-2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0</f>
        <v>0</v>
      </c>
      <c r="F180" s="129">
        <f>0.3809</f>
        <v>0.38090000000000002</v>
      </c>
      <c r="G180" s="129"/>
      <c r="H180" s="129">
        <f>2.93823</f>
        <v>2.9382299999999999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0.00264</f>
        <v>2.64E-3</v>
      </c>
      <c r="F181" s="194">
        <f>0.57664</f>
        <v>0.57664000000000004</v>
      </c>
      <c r="G181" s="194"/>
      <c r="H181" s="194">
        <f>0.81231</f>
        <v>0.81230999999999998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34.431930000000001</v>
      </c>
      <c r="F184" s="196">
        <f>F175+F176+F177+F178+F182+F183</f>
        <v>258.93361999999996</v>
      </c>
      <c r="G184" s="196">
        <f>D184-F184</f>
        <v>12476.06638</v>
      </c>
      <c r="H184" s="196">
        <f>H175+H176+H177+H178+H182+H183</f>
        <v>158.21163999999999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138</v>
      </c>
      <c r="F203" s="68" t="s">
        <v>139</v>
      </c>
      <c r="G203" s="68" t="s">
        <v>140</v>
      </c>
      <c r="H203" s="68" t="s">
        <v>141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597.8629</f>
        <v>597.86289999999997</v>
      </c>
      <c r="F204" s="124">
        <f>1333.53032</f>
        <v>1333.5303200000001</v>
      </c>
      <c r="G204" s="124">
        <f>D204-F204</f>
        <v>42505.469680000002</v>
      </c>
      <c r="H204" s="124">
        <f>213.06392</f>
        <v>213.06392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</f>
        <v>0</v>
      </c>
      <c r="F205" s="124">
        <f>0.0055</f>
        <v>5.4999999999999997E-3</v>
      </c>
      <c r="G205" s="124">
        <f>D205-F205</f>
        <v>99.994500000000002</v>
      </c>
      <c r="H205" s="124">
        <f>0.02144</f>
        <v>2.1440000000000001E-2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597.86289999999997</v>
      </c>
      <c r="F207" s="190">
        <f>SUM(F204:F206)</f>
        <v>1333.5358200000001</v>
      </c>
      <c r="G207" s="190">
        <f>D207-F207</f>
        <v>42647.464180000003</v>
      </c>
      <c r="H207" s="190">
        <f>SUM(H204:H206)</f>
        <v>213.08536000000001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138</v>
      </c>
      <c r="F257" s="68" t="s">
        <v>139</v>
      </c>
      <c r="G257" s="68" t="s">
        <v>140</v>
      </c>
      <c r="H257" s="68" t="s">
        <v>141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4.48083</f>
        <v>4.4808300000000001</v>
      </c>
      <c r="F258" s="124">
        <f>22.87029</f>
        <v>22.870290000000001</v>
      </c>
      <c r="G258" s="124">
        <f>D258-F258</f>
        <v>777.12971000000005</v>
      </c>
      <c r="H258" s="124">
        <f>9.96093</f>
        <v>9.9609299999999994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5.90401</f>
        <v>5.9040100000000004</v>
      </c>
      <c r="F259" s="124">
        <f>205.97885</f>
        <v>205.97884999999999</v>
      </c>
      <c r="G259" s="124">
        <f>D259-F259</f>
        <v>2288.02115</v>
      </c>
      <c r="H259" s="124">
        <f>39.98465</f>
        <v>39.984650000000002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</f>
        <v>0</v>
      </c>
      <c r="G260" s="124">
        <f>D260-F260</f>
        <v>5</v>
      </c>
      <c r="H260" s="168">
        <f>0.243</f>
        <v>0.24299999999999999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</f>
        <v>0</v>
      </c>
      <c r="F261" s="168">
        <f>0</f>
        <v>0</v>
      </c>
      <c r="G261" s="124"/>
      <c r="H261" s="168">
        <f>0.02</f>
        <v>0.02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10.384840000000001</v>
      </c>
      <c r="F262" s="190">
        <f>SUM(F258:F261)</f>
        <v>228.84914000000001</v>
      </c>
      <c r="G262" s="190">
        <f>D262-F262</f>
        <v>3070.1508600000002</v>
      </c>
      <c r="H262" s="190">
        <f>H258+H259+H260+H261</f>
        <v>50.208580000000005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138</v>
      </c>
      <c r="G287" s="221" t="s">
        <v>139</v>
      </c>
      <c r="H287" s="221" t="s">
        <v>140</v>
      </c>
      <c r="I287" s="221" t="s">
        <v>141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27.082799999999999</v>
      </c>
      <c r="G288" s="251">
        <f t="shared" si="14"/>
        <v>162.92084</v>
      </c>
      <c r="H288" s="251">
        <f>H292+H291+H290+H289</f>
        <v>15939.079159999999</v>
      </c>
      <c r="I288" s="251">
        <f t="shared" si="14"/>
        <v>73.464460000000003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0</f>
        <v>0</v>
      </c>
      <c r="H289" s="255">
        <f t="shared" ref="H289:H293" si="15">E289-G289</f>
        <v>8177</v>
      </c>
      <c r="I289" s="255">
        <f>0</f>
        <v>0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0</f>
        <v>0</v>
      </c>
      <c r="H290" s="255">
        <f t="shared" si="15"/>
        <v>2128</v>
      </c>
      <c r="I290" s="255">
        <f>0</f>
        <v>0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25.1028</f>
        <v>25.102799999999998</v>
      </c>
      <c r="G291" s="255">
        <f>144.88704</f>
        <v>144.88704000000001</v>
      </c>
      <c r="H291" s="255">
        <f t="shared" si="15"/>
        <v>1212.1129599999999</v>
      </c>
      <c r="I291" s="255">
        <f>71.20526</f>
        <v>71.205259999999996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1.98</f>
        <v>1.98</v>
      </c>
      <c r="G292" s="255">
        <f>18.0338</f>
        <v>18.033799999999999</v>
      </c>
      <c r="H292" s="255">
        <f t="shared" si="15"/>
        <v>4421.9661999999998</v>
      </c>
      <c r="I292" s="255">
        <f>2.2592</f>
        <v>2.2591999999999999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0.328</f>
        <v>0.32800000000000001</v>
      </c>
      <c r="G293" s="266">
        <f>17.834</f>
        <v>17.834</v>
      </c>
      <c r="H293" s="266">
        <f t="shared" si="15"/>
        <v>5482.1660000000002</v>
      </c>
      <c r="I293" s="266">
        <f>104.23302</f>
        <v>104.23302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35.769159999999999</v>
      </c>
      <c r="G294" s="267">
        <f>G296+G295</f>
        <v>199.74642</v>
      </c>
      <c r="H294" s="267">
        <f>E294-G294</f>
        <v>7800.2535799999996</v>
      </c>
      <c r="I294" s="267">
        <f>I296+I295</f>
        <v>129.79395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0</f>
        <v>0</v>
      </c>
      <c r="H295" s="255"/>
      <c r="I295" s="255">
        <f>0</f>
        <v>0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35.76916</f>
        <v>35.769159999999999</v>
      </c>
      <c r="G296" s="276">
        <f>199.74642</f>
        <v>199.74642</v>
      </c>
      <c r="H296" s="276"/>
      <c r="I296" s="276">
        <f>129.79395</f>
        <v>129.79395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</f>
        <v>0</v>
      </c>
      <c r="H297" s="266">
        <f>E297-G297</f>
        <v>10</v>
      </c>
      <c r="I297" s="266">
        <f>0.0918</f>
        <v>9.1800000000000007E-2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0.03</f>
        <v>0.03</v>
      </c>
      <c r="G298" s="266">
        <f>0.87796</f>
        <v>0.87795999999999996</v>
      </c>
      <c r="H298" s="266">
        <f>E298-G298</f>
        <v>-0.87795999999999996</v>
      </c>
      <c r="I298" s="266">
        <f>11.71853</f>
        <v>11.718529999999999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63.209959999999995</v>
      </c>
      <c r="G299" s="285">
        <f t="shared" si="16"/>
        <v>381.37921999999998</v>
      </c>
      <c r="H299" s="285">
        <f>H288+H293+H294+H297+H298</f>
        <v>29230.620779999997</v>
      </c>
      <c r="I299" s="285">
        <f t="shared" si="16"/>
        <v>319.30175999999994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138</v>
      </c>
      <c r="F320" s="20" t="s">
        <v>139</v>
      </c>
      <c r="G320" s="25" t="s">
        <v>140</v>
      </c>
      <c r="H320" s="20" t="s">
        <v>141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162.77699999999999</v>
      </c>
      <c r="F321" s="26">
        <f>F323+F322</f>
        <v>612.94834000000003</v>
      </c>
      <c r="G321" s="87">
        <f>D321-F321</f>
        <v>1628.0516600000001</v>
      </c>
      <c r="H321" s="26">
        <f>SUM(H322:H323)</f>
        <v>353.95231999999999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143.1694</f>
        <v>143.1694</v>
      </c>
      <c r="F322" s="207">
        <f>530.70894</f>
        <v>530.70893999999998</v>
      </c>
      <c r="G322" s="208"/>
      <c r="H322" s="207">
        <f>303.03712</f>
        <v>303.03712000000002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19.6076</f>
        <v>19.607600000000001</v>
      </c>
      <c r="F323" s="210">
        <f>82.2394</f>
        <v>82.239400000000003</v>
      </c>
      <c r="G323" s="211"/>
      <c r="H323" s="210">
        <f>50.9152</f>
        <v>50.915199999999999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162.77699999999999</v>
      </c>
      <c r="F331" s="42">
        <f>F321+F324+F327+F330</f>
        <v>612.94834000000003</v>
      </c>
      <c r="G331" s="43">
        <f>SUM(G321:G330)</f>
        <v>2748.0516600000001</v>
      </c>
      <c r="H331" s="42">
        <f>H321+H324+H327+H330</f>
        <v>353.95231999999999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4&amp;R31.01.2023</oddHeader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2023-01-31T11:34:56Z</dcterms:modified>
</cp:coreProperties>
</file>