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ro\Downloads\"/>
    </mc:Choice>
  </mc:AlternateContent>
  <bookViews>
    <workbookView xWindow="0" yWindow="0" windowWidth="28800" windowHeight="14232" tabRatio="413"/>
  </bookViews>
  <sheets>
    <sheet name="UKE_24_2020" sheetId="1" r:id="rId1"/>
  </sheets>
  <definedNames>
    <definedName name="Z_14D440E4_F18A_4F78_9989_38C1B133222D_.wvu.Cols" localSheetId="0" hidden="1">UKE_24_2020!#REF!</definedName>
    <definedName name="Z_14D440E4_F18A_4F78_9989_38C1B133222D_.wvu.PrintArea" localSheetId="0" hidden="1">UKE_24_2020!$B$1:$M$249</definedName>
    <definedName name="Z_14D440E4_F18A_4F78_9989_38C1B133222D_.wvu.Rows" localSheetId="0" hidden="1">UKE_24_2020!$361:$1048576,UKE_24_2020!$250:$360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3" i="1" l="1"/>
  <c r="G129" i="1"/>
  <c r="G128" i="1"/>
  <c r="G127" i="1"/>
  <c r="G32" i="1" l="1"/>
  <c r="J32" i="1"/>
  <c r="F36" i="1"/>
  <c r="F32" i="1" s="1"/>
  <c r="G31" i="1" l="1"/>
  <c r="F31" i="1"/>
  <c r="I132" i="1" l="1"/>
  <c r="D229" i="1" l="1"/>
  <c r="J24" i="1" l="1"/>
  <c r="J31" i="1" l="1"/>
  <c r="J23" i="1" s="1"/>
  <c r="G33" i="1" l="1"/>
  <c r="F33" i="1" s="1"/>
  <c r="G29" i="1" l="1"/>
  <c r="F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H11" i="1" l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24" i="1" l="1"/>
  <c r="F125" i="1" l="1"/>
  <c r="F124" i="1" s="1"/>
  <c r="I29" i="1" l="1"/>
  <c r="F178" i="1" l="1"/>
  <c r="G178" i="1"/>
  <c r="I119" i="1" l="1"/>
  <c r="I125" i="1"/>
  <c r="I124" i="1" s="1"/>
  <c r="G23" i="1" l="1"/>
  <c r="I138" i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G39" i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<sst xmlns="http://schemas.openxmlformats.org/spreadsheetml/2006/main" count="257" uniqueCount="134">
  <si>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</si>
  <si>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</si>
  <si>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</si>
  <si>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</si>
  <si>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</si>
  <si>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</si>
  <si>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</si>
  <si>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</si>
  <si>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</si>
  <si>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</si>
  <si>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</si>
  <si>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</si>
  <si>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</si>
  <si>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</si>
  <si>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</si>
  <si>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</si>
  <si>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</si>
  <si>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</si>
  <si>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</si>
  <si>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</si>
  <si>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</si>
  <si>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</si>
  <si>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</si>
  <si>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</si>
  <si>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</si>
  <si>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</si>
  <si>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</si>
  <si>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</si>
  <si>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</si>
  <si>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</si>
  <si>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</si>
  <si>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</si>
  <si>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</si>
  <si>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</si>
  <si>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</si>
  <si>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</si>
  <si>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</si>
  <si>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</si>
  <si>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</si>
  <si>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</si>
  <si>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</si>
  <si>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</si>
  <si>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</si>
  <si>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</si>
  <si>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</si>
  <si>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</si>
  <si>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</si>
  <si>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</si>
  <si>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</si>
  <si>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</si>
  <si>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</si>
  <si>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</si>
  <si>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</si>
  <si>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</si>
  <si>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</si>
  <si>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</si>
  <si>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</si>
  <si>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</si>
  <si>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</si>
  <si>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</si>
  <si>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</si>
  <si>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</si>
  <si>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</si>
  <si>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</si>
  <si>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</si>
  <si>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</si>
  <si>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</si>
  <si>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</si>
  <si>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</si>
  <si>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</si>
  <si>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</si>
  <si>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</si>
  <si>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</si>
  <si>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</si>
  <si>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</si>
  <si>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</si>
  <si>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</si>
  <si>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</si>
  <si>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</si>
  <si>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</si>
  <si>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</si>
  <si>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</si>
  <si>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</si>
  <si>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</si>
  <si>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</si>
  <si>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</si>
  <si>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</si>
  <si>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</si>
  <si>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</si>
  <si>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</si>
  <si>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</si>
  <si>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</si>
  <si>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</si>
  <si>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</si>
  <si>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</si>
  <si>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</si>
  <si>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</si>
  <si>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</si>
  <si>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</si>
  <si>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</si>
  <si>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</si>
  <si>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</si>
  <si>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</si>
  <si>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</si>
  <si>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</si>
  <si>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</si>
  <si>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</si>
  <si>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</si>
  <si>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</si>
  <si>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</si>
  <si>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</si>
  <si>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</si>
  <si>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</si>
  <si>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</si>
  <si>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</si>
  <si>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</si>
  <si>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</si>
  <si>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</si>
  <si>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</si>
  <si>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</si>
  <si>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</si>
  <si>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</si>
  <si>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</si>
  <si>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</si>
  <si>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</si>
  <si>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</si>
  <si>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</si>
  <si>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</si>
  <si>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24</t>
  </si>
  <si>
    <t>LANDET KVANTUM T.O.M UKE 24</t>
  </si>
  <si>
    <t>LANDET KVANTUM T.O.M. UKE 24 2019</t>
  </si>
  <si>
    <r>
      <t xml:space="preserve">3 </t>
    </r>
    <r>
      <rPr>
        <sz val="9"/>
        <color theme="1"/>
        <rFont val="Calibri"/>
        <family val="2"/>
      </rPr>
      <t>Registrert rekreasjonsfiske utgjør 1 920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</si>
  <si>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44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</si>
  <si>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233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</si>
</sst>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5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6" xfId="0" applyNumberFormat="1" applyFont="1" applyFill="1" applyBorder="1" applyAlignment="1">
      <alignment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59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60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1" fillId="0" borderId="78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2" xfId="0" applyNumberFormat="1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23" fillId="0" borderId="76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2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1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2" fillId="0" borderId="82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0" fontId="23" fillId="0" borderId="32" xfId="0" applyFont="1" applyBorder="1" applyAlignment="1">
      <alignment vertical="center" wrapText="1"/>
    </xf>
    <xf numFmtId="3" fontId="11" fillId="0" borderId="8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23" fillId="0" borderId="8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8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7" xfId="1" applyNumberFormat="1" applyFont="1" applyFill="1" applyBorder="1" applyAlignment="1">
      <alignment vertical="center"/>
    </xf>
    <xf numFmtId="0" fontId="63" fillId="0" borderId="1" xfId="0" applyFont="1" applyBorder="1" applyAlignment="1">
      <alignment horizontal="left" vertical="center"/>
    </xf>
    <xf numFmtId="3" fontId="63" fillId="0" borderId="79" xfId="1" applyNumberFormat="1" applyFont="1" applyFill="1" applyBorder="1" applyAlignment="1">
      <alignment vertical="center"/>
    </xf>
    <xf numFmtId="3" fontId="63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3" fontId="10" fillId="0" borderId="20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8" xfId="0" applyNumberFormat="1" applyFont="1" applyFill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43" fillId="0" borderId="30" xfId="0" applyNumberFormat="1" applyFont="1" applyBorder="1" applyAlignment="1">
      <alignment vertical="center" wrapText="1"/>
    </xf>
    <xf numFmtId="3" fontId="22" fillId="0" borderId="78" xfId="1" applyNumberFormat="1" applyFont="1" applyFill="1" applyBorder="1" applyAlignment="1">
      <alignment vertical="center"/>
    </xf>
    <xf numFmtId="0" fontId="8" fillId="4" borderId="58" xfId="0" applyFont="1" applyFill="1" applyBorder="1" applyAlignment="1">
      <alignment horizontal="center" vertical="center"/>
    </xf>
    <xf numFmtId="3" fontId="22" fillId="0" borderId="76" xfId="1" applyNumberFormat="1" applyFont="1" applyFill="1" applyBorder="1" applyAlignment="1">
      <alignment vertical="center"/>
    </xf>
    <xf numFmtId="3" fontId="22" fillId="0" borderId="82" xfId="1" applyNumberFormat="1" applyFont="1" applyFill="1" applyBorder="1" applyAlignment="1">
      <alignment vertical="center"/>
    </xf>
    <xf numFmtId="3" fontId="12" fillId="0" borderId="79" xfId="0" applyNumberFormat="1" applyFont="1" applyFill="1" applyBorder="1" applyAlignment="1">
      <alignment vertical="center" wrapText="1"/>
    </xf>
    <xf numFmtId="3" fontId="33" fillId="0" borderId="79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89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42" xfId="0" applyNumberFormat="1" applyFont="1" applyBorder="1" applyAlignment="1">
      <alignment horizontal="right" vertical="center" wrapText="1"/>
    </xf>
    <xf numFmtId="3" fontId="43" fillId="0" borderId="91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zoomScaleNormal="115" workbookViewId="0">
      <selection activeCell="I10" sqref="I10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44140625" style="5" customWidth="1"/>
    <col min="4" max="4" width="15" style="5" customWidth="1"/>
    <col min="5" max="5" width="16.44140625" style="5" bestFit="1" customWidth="1"/>
    <col min="6" max="6" width="13.5546875" style="5" customWidth="1"/>
    <col min="7" max="7" width="19.5546875" style="5" customWidth="1"/>
    <col min="8" max="8" width="18.44140625" style="5" customWidth="1"/>
    <col min="9" max="10" width="18.44140625" style="70" customWidth="1"/>
    <col min="11" max="11" width="0.5546875" style="5" customWidth="1"/>
    <col min="12" max="12" width="0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8.1" customHeight="1" thickBot="1" x14ac:dyDescent="0.35"/>
    <row r="2" spans="2:13" ht="31.5" customHeight="1" thickTop="1" thickBot="1" x14ac:dyDescent="0.35">
      <c r="B2" s="418" t="s">
        <v>101</v>
      </c>
      <c r="C2" s="419"/>
      <c r="D2" s="419"/>
      <c r="E2" s="419"/>
      <c r="F2" s="419"/>
      <c r="G2" s="419"/>
      <c r="H2" s="419"/>
      <c r="I2" s="419"/>
      <c r="J2" s="419"/>
      <c r="K2" s="420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21"/>
      <c r="C7" s="422"/>
      <c r="D7" s="422"/>
      <c r="E7" s="422"/>
      <c r="F7" s="422"/>
      <c r="G7" s="422"/>
      <c r="H7" s="422"/>
      <c r="I7" s="422"/>
      <c r="J7" s="422"/>
      <c r="K7" s="423"/>
      <c r="L7" s="204"/>
      <c r="M7" s="204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1">
        <v>102994</v>
      </c>
      <c r="G10" s="165" t="s">
        <v>25</v>
      </c>
      <c r="H10" s="241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93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125</v>
      </c>
      <c r="D13" s="169">
        <v>102446</v>
      </c>
      <c r="E13" s="235"/>
      <c r="F13" s="236"/>
      <c r="G13" s="167" t="s">
        <v>15</v>
      </c>
      <c r="H13" s="242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1" t="s">
        <v>127</v>
      </c>
      <c r="D15" s="311"/>
      <c r="E15" s="311"/>
      <c r="F15" s="311"/>
      <c r="G15" s="311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4"/>
      <c r="D16" s="234"/>
      <c r="E16" s="234"/>
      <c r="F16" s="234"/>
      <c r="G16" s="234"/>
      <c r="H16" s="234"/>
      <c r="I16" s="234"/>
      <c r="J16" s="198"/>
      <c r="K16" s="127"/>
      <c r="L16" s="118"/>
      <c r="M16" s="118"/>
    </row>
    <row r="17" spans="1:13" ht="21.75" customHeight="1" x14ac:dyDescent="0.3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4"/>
      <c r="M17" s="204"/>
    </row>
    <row r="18" spans="1:13" ht="12" customHeight="1" thickBot="1" x14ac:dyDescent="0.35">
      <c r="B18" s="119"/>
      <c r="C18" s="237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3" t="s">
        <v>70</v>
      </c>
      <c r="E19" s="323" t="s">
        <v>97</v>
      </c>
      <c r="F19" s="324" t="s">
        <v>128</v>
      </c>
      <c r="G19" s="324" t="s">
        <v>129</v>
      </c>
      <c r="H19" s="324" t="s">
        <v>69</v>
      </c>
      <c r="I19" s="324" t="s">
        <v>62</v>
      </c>
      <c r="J19" s="325" t="s">
        <v>130</v>
      </c>
      <c r="K19" s="116"/>
      <c r="L19" s="4"/>
      <c r="M19" s="4"/>
    </row>
    <row r="20" spans="1:13" ht="14.1" customHeight="1" x14ac:dyDescent="0.3">
      <c r="B20" s="119"/>
      <c r="C20" s="258" t="s">
        <v>16</v>
      </c>
      <c r="D20" s="312">
        <f>D22+D21</f>
        <v>106710</v>
      </c>
      <c r="E20" s="312">
        <f>E22+E21</f>
        <v>105976</v>
      </c>
      <c r="F20" s="312">
        <f>F22+F21</f>
        <v>1019.1139499999999</v>
      </c>
      <c r="G20" s="312">
        <f>G21+G22</f>
        <v>55696.736069999999</v>
      </c>
      <c r="H20" s="326"/>
      <c r="I20" s="326">
        <f>I22+I21</f>
        <v>50279.263930000001</v>
      </c>
      <c r="J20" s="327">
        <f>J22+J21</f>
        <v>42036.476580000002</v>
      </c>
      <c r="K20" s="128"/>
      <c r="L20" s="156"/>
      <c r="M20" s="156"/>
    </row>
    <row r="21" spans="1:13" ht="14.1" customHeight="1" x14ac:dyDescent="0.3">
      <c r="B21" s="119"/>
      <c r="C21" s="259" t="s">
        <v>12</v>
      </c>
      <c r="D21" s="313">
        <v>105960</v>
      </c>
      <c r="E21" s="313">
        <v>105175</v>
      </c>
      <c r="F21" s="313">
        <v>1018.4884499999999</v>
      </c>
      <c r="G21" s="313">
        <v>55472.447070000002</v>
      </c>
      <c r="H21" s="328"/>
      <c r="I21" s="328">
        <f>E21-G21</f>
        <v>49702.552929999998</v>
      </c>
      <c r="J21" s="329">
        <v>41740.393900000003</v>
      </c>
      <c r="K21" s="128"/>
      <c r="L21" s="156"/>
      <c r="M21" s="156"/>
    </row>
    <row r="22" spans="1:13" ht="14.1" customHeight="1" thickBot="1" x14ac:dyDescent="0.35">
      <c r="B22" s="119"/>
      <c r="C22" s="260" t="s">
        <v>11</v>
      </c>
      <c r="D22" s="322">
        <v>750</v>
      </c>
      <c r="E22" s="322">
        <v>801</v>
      </c>
      <c r="F22" s="322">
        <v>0.62549999999999994</v>
      </c>
      <c r="G22" s="322">
        <v>224.28899999999999</v>
      </c>
      <c r="H22" s="330"/>
      <c r="I22" s="330">
        <f>E22-G22</f>
        <v>576.71100000000001</v>
      </c>
      <c r="J22" s="331">
        <v>296.08267999999998</v>
      </c>
      <c r="K22" s="128"/>
      <c r="L22" s="156"/>
      <c r="M22" s="156"/>
    </row>
    <row r="23" spans="1:13" ht="14.1" customHeight="1" x14ac:dyDescent="0.3">
      <c r="B23" s="119"/>
      <c r="C23" s="258" t="s">
        <v>17</v>
      </c>
      <c r="D23" s="312">
        <f>D31+D30+D24</f>
        <v>223234</v>
      </c>
      <c r="E23" s="312">
        <f>E31+E30+E24</f>
        <v>213782</v>
      </c>
      <c r="F23" s="312">
        <f>F31+F30+F24</f>
        <v>817.51504000000011</v>
      </c>
      <c r="G23" s="312">
        <f>G24+G30+G31</f>
        <v>181498.83932600002</v>
      </c>
      <c r="H23" s="326"/>
      <c r="I23" s="326">
        <f>I24+I30+I31</f>
        <v>32283.160674000002</v>
      </c>
      <c r="J23" s="327">
        <f>J24+J30+J31</f>
        <v>180777.96130799997</v>
      </c>
      <c r="K23" s="128"/>
      <c r="L23" s="156"/>
      <c r="M23" s="156"/>
    </row>
    <row r="24" spans="1:13" ht="15" customHeight="1" x14ac:dyDescent="0.3">
      <c r="A24" s="21"/>
      <c r="B24" s="129"/>
      <c r="C24" s="265" t="s">
        <v>80</v>
      </c>
      <c r="D24" s="314">
        <f>D25+D26+D27+D28+D29</f>
        <v>174605</v>
      </c>
      <c r="E24" s="314">
        <f>E25+E26+E27+E28+E29</f>
        <v>165351</v>
      </c>
      <c r="F24" s="314">
        <f>F25+F26+F27+F28</f>
        <v>748.24943000000007</v>
      </c>
      <c r="G24" s="314">
        <f>G25+G26+G27+G28</f>
        <v>144362.57110599999</v>
      </c>
      <c r="H24" s="332"/>
      <c r="I24" s="332">
        <f>I25+I26+I27+I28+I29</f>
        <v>20988.428894000004</v>
      </c>
      <c r="J24" s="333">
        <f>J25+J26+J27+J28</f>
        <v>147782.05362799999</v>
      </c>
      <c r="K24" s="128"/>
      <c r="L24" s="156"/>
      <c r="M24" s="156"/>
    </row>
    <row r="25" spans="1:13" ht="14.1" customHeight="1" x14ac:dyDescent="0.3">
      <c r="A25" s="22"/>
      <c r="B25" s="130"/>
      <c r="C25" s="264" t="s">
        <v>22</v>
      </c>
      <c r="D25" s="315">
        <v>41189</v>
      </c>
      <c r="E25" s="315">
        <v>39029</v>
      </c>
      <c r="F25" s="315">
        <v>134.05332999999999</v>
      </c>
      <c r="G25" s="315">
        <v>38237.231220000001</v>
      </c>
      <c r="H25" s="334">
        <v>1047</v>
      </c>
      <c r="I25" s="334">
        <f>E25-G25+H25</f>
        <v>1838.7687799999985</v>
      </c>
      <c r="J25" s="335">
        <v>41732.061880000001</v>
      </c>
      <c r="K25" s="128"/>
      <c r="L25" s="156"/>
      <c r="M25" s="156"/>
    </row>
    <row r="26" spans="1:13" ht="14.1" customHeight="1" x14ac:dyDescent="0.3">
      <c r="A26" s="22"/>
      <c r="B26" s="130"/>
      <c r="C26" s="264" t="s">
        <v>59</v>
      </c>
      <c r="D26" s="315">
        <v>45257</v>
      </c>
      <c r="E26" s="315">
        <v>41911</v>
      </c>
      <c r="F26" s="315">
        <v>99.614959999999996</v>
      </c>
      <c r="G26" s="315">
        <v>39061.209089999997</v>
      </c>
      <c r="H26" s="334">
        <v>1152</v>
      </c>
      <c r="I26" s="334">
        <f>E26-G26+H26</f>
        <v>4001.7909100000034</v>
      </c>
      <c r="J26" s="335">
        <v>40225.664169999996</v>
      </c>
      <c r="K26" s="128"/>
      <c r="L26" s="156"/>
      <c r="M26" s="156"/>
    </row>
    <row r="27" spans="1:13" ht="14.1" customHeight="1" x14ac:dyDescent="0.3">
      <c r="A27" s="22"/>
      <c r="B27" s="130"/>
      <c r="C27" s="264" t="s">
        <v>60</v>
      </c>
      <c r="D27" s="315">
        <v>42190</v>
      </c>
      <c r="E27" s="315">
        <v>42357</v>
      </c>
      <c r="F27" s="315">
        <v>235.54852</v>
      </c>
      <c r="G27" s="315">
        <v>40103.299035999997</v>
      </c>
      <c r="H27" s="334">
        <v>1339</v>
      </c>
      <c r="I27" s="334">
        <f>E27-G27+H27</f>
        <v>3592.7009640000033</v>
      </c>
      <c r="J27" s="335">
        <v>38025.623592000004</v>
      </c>
      <c r="K27" s="128"/>
      <c r="L27" s="156"/>
      <c r="M27" s="156"/>
    </row>
    <row r="28" spans="1:13" ht="14.1" customHeight="1" x14ac:dyDescent="0.3">
      <c r="A28" s="22"/>
      <c r="B28" s="130"/>
      <c r="C28" s="264" t="s">
        <v>82</v>
      </c>
      <c r="D28" s="315">
        <v>30699</v>
      </c>
      <c r="E28" s="315">
        <v>28468</v>
      </c>
      <c r="F28" s="315">
        <v>279.03262000000001</v>
      </c>
      <c r="G28" s="315">
        <v>26960.831760000001</v>
      </c>
      <c r="H28" s="334">
        <v>990</v>
      </c>
      <c r="I28" s="334">
        <f>E28-G28+H28</f>
        <v>2497.1682399999991</v>
      </c>
      <c r="J28" s="335">
        <v>27798.703986</v>
      </c>
      <c r="K28" s="128"/>
      <c r="L28" s="156"/>
      <c r="M28" s="156"/>
    </row>
    <row r="29" spans="1:13" ht="14.1" customHeight="1" x14ac:dyDescent="0.3">
      <c r="A29" s="22"/>
      <c r="B29" s="130"/>
      <c r="C29" s="264" t="s">
        <v>83</v>
      </c>
      <c r="D29" s="315">
        <v>15270</v>
      </c>
      <c r="E29" s="315">
        <v>13586</v>
      </c>
      <c r="F29" s="315">
        <f>G29-4378</f>
        <v>150</v>
      </c>
      <c r="G29" s="315">
        <f>H25+H26+H27+H28</f>
        <v>4528</v>
      </c>
      <c r="H29" s="334"/>
      <c r="I29" s="334">
        <f>E29-G29</f>
        <v>9058</v>
      </c>
      <c r="J29" s="335">
        <v>4315</v>
      </c>
      <c r="K29" s="128"/>
      <c r="L29" s="156"/>
      <c r="M29" s="156"/>
    </row>
    <row r="30" spans="1:13" ht="14.1" customHeight="1" x14ac:dyDescent="0.3">
      <c r="A30" s="23"/>
      <c r="B30" s="129"/>
      <c r="C30" s="265" t="s">
        <v>18</v>
      </c>
      <c r="D30" s="314">
        <v>27917</v>
      </c>
      <c r="E30" s="314">
        <v>28138</v>
      </c>
      <c r="F30" s="314">
        <v>24.282</v>
      </c>
      <c r="G30" s="314">
        <v>17834.8642</v>
      </c>
      <c r="H30" s="334"/>
      <c r="I30" s="332">
        <f>E30-G30</f>
        <v>10303.1358</v>
      </c>
      <c r="J30" s="333">
        <v>14713.765439999999</v>
      </c>
      <c r="K30" s="128"/>
      <c r="L30" s="156"/>
      <c r="M30" s="156"/>
    </row>
    <row r="31" spans="1:13" ht="14.1" customHeight="1" x14ac:dyDescent="0.3">
      <c r="A31" s="23"/>
      <c r="B31" s="129"/>
      <c r="C31" s="265" t="s">
        <v>81</v>
      </c>
      <c r="D31" s="314">
        <f>D32+D33</f>
        <v>20712</v>
      </c>
      <c r="E31" s="314">
        <f>E32+E33</f>
        <v>20293</v>
      </c>
      <c r="F31" s="314">
        <f>F32</f>
        <v>44.983609999999999</v>
      </c>
      <c r="G31" s="314">
        <f>G32</f>
        <v>19301.404020000002</v>
      </c>
      <c r="H31" s="334"/>
      <c r="I31" s="332">
        <f>I32+I33</f>
        <v>991.59597999999824</v>
      </c>
      <c r="J31" s="333">
        <f>J32</f>
        <v>18282.142240000001</v>
      </c>
      <c r="K31" s="128"/>
      <c r="L31" s="156"/>
      <c r="M31" s="156"/>
    </row>
    <row r="32" spans="1:13" ht="14.1" customHeight="1" x14ac:dyDescent="0.3">
      <c r="A32" s="22"/>
      <c r="B32" s="130"/>
      <c r="C32" s="264" t="s">
        <v>10</v>
      </c>
      <c r="D32" s="315">
        <v>18842</v>
      </c>
      <c r="E32" s="315">
        <v>18423</v>
      </c>
      <c r="F32" s="315">
        <f>68.98361-F36</f>
        <v>44.983609999999999</v>
      </c>
      <c r="G32" s="315">
        <f>22271.40402-G36</f>
        <v>19301.404020000002</v>
      </c>
      <c r="H32" s="334">
        <v>788</v>
      </c>
      <c r="I32" s="334">
        <f>E32-G32+H32</f>
        <v>-90.404020000001765</v>
      </c>
      <c r="J32" s="335">
        <f>21501.14224-J36</f>
        <v>18282.142240000001</v>
      </c>
      <c r="K32" s="128"/>
      <c r="L32" s="156"/>
      <c r="M32" s="156"/>
    </row>
    <row r="33" spans="1:13" ht="14.1" customHeight="1" thickBot="1" x14ac:dyDescent="0.35">
      <c r="A33" s="22"/>
      <c r="B33" s="130"/>
      <c r="C33" s="336" t="s">
        <v>84</v>
      </c>
      <c r="D33" s="316">
        <v>1870</v>
      </c>
      <c r="E33" s="316">
        <v>1870</v>
      </c>
      <c r="F33" s="316">
        <f>G33-773</f>
        <v>15</v>
      </c>
      <c r="G33" s="316">
        <f>H32</f>
        <v>788</v>
      </c>
      <c r="H33" s="337"/>
      <c r="I33" s="337">
        <f t="shared" ref="I33:I38" si="0">E33-G33</f>
        <v>1082</v>
      </c>
      <c r="J33" s="338">
        <v>515</v>
      </c>
      <c r="K33" s="128"/>
      <c r="L33" s="156"/>
      <c r="M33" s="156"/>
    </row>
    <row r="34" spans="1:13" ht="15.75" customHeight="1" thickBot="1" x14ac:dyDescent="0.35">
      <c r="B34" s="119"/>
      <c r="C34" s="173" t="s">
        <v>109</v>
      </c>
      <c r="D34" s="377">
        <v>2500</v>
      </c>
      <c r="E34" s="377">
        <v>2500</v>
      </c>
      <c r="F34" s="377">
        <v>18.704000000000001</v>
      </c>
      <c r="G34" s="377">
        <v>1509.7049440000001</v>
      </c>
      <c r="H34" s="339"/>
      <c r="I34" s="339">
        <f t="shared" si="0"/>
        <v>990.29505599999993</v>
      </c>
      <c r="J34" s="340">
        <v>2829.2036320000002</v>
      </c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7">
        <v>933</v>
      </c>
      <c r="E35" s="317">
        <v>933</v>
      </c>
      <c r="F35" s="317">
        <v>4.5780000000000003</v>
      </c>
      <c r="G35" s="317">
        <v>448.07765000000001</v>
      </c>
      <c r="H35" s="318"/>
      <c r="I35" s="339">
        <f t="shared" si="0"/>
        <v>484.92234999999999</v>
      </c>
      <c r="J35" s="340">
        <v>452.02035999999998</v>
      </c>
      <c r="K35" s="128"/>
      <c r="L35" s="156"/>
      <c r="M35" s="156"/>
    </row>
    <row r="36" spans="1:13" ht="17.25" customHeight="1" thickBot="1" x14ac:dyDescent="0.35">
      <c r="B36" s="119"/>
      <c r="C36" s="173" t="s">
        <v>110</v>
      </c>
      <c r="D36" s="317">
        <v>3000</v>
      </c>
      <c r="E36" s="317">
        <v>3000</v>
      </c>
      <c r="F36" s="317">
        <f>G36-2946</f>
        <v>24</v>
      </c>
      <c r="G36" s="317">
        <v>2970</v>
      </c>
      <c r="H36" s="364"/>
      <c r="I36" s="318">
        <f t="shared" si="0"/>
        <v>30</v>
      </c>
      <c r="J36" s="321">
        <v>3219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7">
        <v>7000</v>
      </c>
      <c r="E37" s="317">
        <v>7000</v>
      </c>
      <c r="F37" s="317">
        <v>7.9389799999999999</v>
      </c>
      <c r="G37" s="317">
        <v>7000</v>
      </c>
      <c r="H37" s="318"/>
      <c r="I37" s="318">
        <f t="shared" si="0"/>
        <v>0</v>
      </c>
      <c r="J37" s="321">
        <v>7000</v>
      </c>
      <c r="K37" s="128"/>
      <c r="L37" s="156"/>
      <c r="M37" s="156"/>
    </row>
    <row r="38" spans="1:13" ht="14.1" customHeight="1" thickBot="1" x14ac:dyDescent="0.35">
      <c r="B38" s="119"/>
      <c r="C38" s="152" t="s">
        <v>112</v>
      </c>
      <c r="D38" s="317">
        <v>0</v>
      </c>
      <c r="E38" s="317">
        <v>0</v>
      </c>
      <c r="F38" s="317"/>
      <c r="G38" s="317">
        <v>44</v>
      </c>
      <c r="H38" s="318"/>
      <c r="I38" s="318">
        <f t="shared" si="0"/>
        <v>-44</v>
      </c>
      <c r="J38" s="321">
        <v>-41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19">
        <f>D20+D23+D34+D35+D36+D37+D38</f>
        <v>343377</v>
      </c>
      <c r="E39" s="319">
        <f>E20+E23+E34+E35+E36+E37+E38</f>
        <v>333191</v>
      </c>
      <c r="F39" s="319">
        <f>F20+F23+F34+F35+F37+F38+F36</f>
        <v>1891.84997</v>
      </c>
      <c r="G39" s="319">
        <f>G20+G23+G34+G35+G36+G37+G38</f>
        <v>249167.35798999999</v>
      </c>
      <c r="H39" s="196">
        <f>H25+H26+H27+H28+H32</f>
        <v>5316</v>
      </c>
      <c r="I39" s="196">
        <f>I20+I23+I34+I35+I36+I37+I38</f>
        <v>84023.642009999996</v>
      </c>
      <c r="J39" s="207">
        <f>J20+J23+J34+J35+J36+J37+J38</f>
        <v>236273.66187999997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108</v>
      </c>
      <c r="D40" s="131"/>
      <c r="E40" s="131"/>
      <c r="F40" s="171"/>
      <c r="G40" s="171"/>
      <c r="H40" s="163"/>
      <c r="I40" s="163"/>
      <c r="J40" s="396"/>
      <c r="K40" s="395"/>
      <c r="L40" s="123"/>
      <c r="M40" s="123"/>
    </row>
    <row r="41" spans="1:13" s="16" customFormat="1" ht="14.1" customHeight="1" x14ac:dyDescent="0.3">
      <c r="B41" s="122"/>
      <c r="C41" s="132" t="s">
        <v>114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1" t="s">
        <v>131</v>
      </c>
      <c r="D42" s="203"/>
      <c r="E42" s="203"/>
      <c r="F42" s="203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1" t="s">
        <v>111</v>
      </c>
      <c r="D43" s="203"/>
      <c r="E43" s="203"/>
      <c r="F43" s="203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113</v>
      </c>
      <c r="D44" s="362"/>
      <c r="E44" s="362"/>
      <c r="F44" s="362"/>
      <c r="G44" s="363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6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21" t="s">
        <v>1</v>
      </c>
      <c r="C47" s="422"/>
      <c r="D47" s="422"/>
      <c r="E47" s="422"/>
      <c r="F47" s="422"/>
      <c r="G47" s="422"/>
      <c r="H47" s="422"/>
      <c r="I47" s="422"/>
      <c r="J47" s="422"/>
      <c r="K47" s="423"/>
      <c r="L47" s="204"/>
      <c r="M47" s="204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13" t="s">
        <v>2</v>
      </c>
      <c r="D49" s="41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5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5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5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5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6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26" t="s">
        <v>8</v>
      </c>
      <c r="C55" s="427"/>
      <c r="D55" s="427"/>
      <c r="E55" s="427"/>
      <c r="F55" s="427"/>
      <c r="G55" s="427"/>
      <c r="H55" s="427"/>
      <c r="I55" s="427"/>
      <c r="J55" s="427"/>
      <c r="K55" s="428"/>
      <c r="L55" s="204"/>
      <c r="M55" s="204"/>
    </row>
    <row r="56" spans="2:13" s="3" customFormat="1" ht="63" thickBot="1" x14ac:dyDescent="0.35">
      <c r="B56" s="142"/>
      <c r="C56" s="178" t="s">
        <v>19</v>
      </c>
      <c r="D56" s="402" t="s">
        <v>20</v>
      </c>
      <c r="E56" s="324" t="str">
        <f>F19</f>
        <v>LANDET KVANTUM UKE 24</v>
      </c>
      <c r="F56" s="324" t="str">
        <f>G19</f>
        <v>LANDET KVANTUM T.O.M UKE 24</v>
      </c>
      <c r="G56" s="324" t="str">
        <f>I19</f>
        <v>RESTKVOTER</v>
      </c>
      <c r="H56" s="325" t="str">
        <f>J19</f>
        <v>LANDET KVANTUM T.O.M. UKE 24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65" t="s">
        <v>32</v>
      </c>
      <c r="D57" s="435">
        <v>5386</v>
      </c>
      <c r="E57" s="403">
        <v>79.959410000000005</v>
      </c>
      <c r="F57" s="403">
        <v>692.90837999999997</v>
      </c>
      <c r="G57" s="437">
        <f>D57-F57-F58</f>
        <v>3862.7821800000002</v>
      </c>
      <c r="H57" s="347">
        <v>602.66938000000005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36"/>
      <c r="E58" s="401">
        <v>18.846710000000002</v>
      </c>
      <c r="F58" s="401">
        <v>830.30944</v>
      </c>
      <c r="G58" s="438"/>
      <c r="H58" s="397">
        <v>968.24518999999998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77">
        <v>200</v>
      </c>
      <c r="E59" s="404">
        <v>2.4474999999999998</v>
      </c>
      <c r="F59" s="404">
        <v>88.30838</v>
      </c>
      <c r="G59" s="400">
        <f>D59-F59</f>
        <v>111.69162</v>
      </c>
      <c r="H59" s="398">
        <v>61.508490000000002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6">
        <v>8078</v>
      </c>
      <c r="E60" s="371">
        <f>E61+E62+E63</f>
        <v>1794.2472599999999</v>
      </c>
      <c r="F60" s="371">
        <f>F61+F62+F63</f>
        <v>4714.4763599999997</v>
      </c>
      <c r="G60" s="371">
        <f>D60-F60</f>
        <v>3363.5236400000003</v>
      </c>
      <c r="H60" s="397">
        <f>H61+H62+H63</f>
        <v>5346.6363200000005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39"/>
      <c r="E61" s="356">
        <v>904.97370000000001</v>
      </c>
      <c r="F61" s="356">
        <v>2047.4594500000001</v>
      </c>
      <c r="G61" s="356"/>
      <c r="H61" s="357">
        <v>2101.6860700000002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39"/>
      <c r="E62" s="356">
        <v>637.77509999999995</v>
      </c>
      <c r="F62" s="356">
        <v>1522.0519099999999</v>
      </c>
      <c r="G62" s="356"/>
      <c r="H62" s="357">
        <v>2072.0916999999999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3" t="s">
        <v>35</v>
      </c>
      <c r="D63" s="240"/>
      <c r="E63" s="366">
        <v>251.49845999999999</v>
      </c>
      <c r="F63" s="366">
        <v>1144.9649999999999</v>
      </c>
      <c r="G63" s="366"/>
      <c r="H63" s="370">
        <v>1172.8585499999999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5">
        <v>91</v>
      </c>
      <c r="E64" s="368"/>
      <c r="F64" s="368"/>
      <c r="G64" s="368">
        <f>D64-F64</f>
        <v>91</v>
      </c>
      <c r="H64" s="369">
        <v>6.4350000000000004E-2</v>
      </c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4"/>
      <c r="E65" s="372"/>
      <c r="F65" s="372"/>
      <c r="G65" s="372"/>
      <c r="H65" s="399">
        <v>1.968</v>
      </c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199">
        <f>E57+E58+E59+E60+E64+E65</f>
        <v>1895.5008799999998</v>
      </c>
      <c r="F66" s="199">
        <f>F57+F58+F59+F60+F64+F65</f>
        <v>6326.002559999999</v>
      </c>
      <c r="G66" s="199">
        <f>D66-F66</f>
        <v>7428.997440000001</v>
      </c>
      <c r="H66" s="197">
        <f>H57+H58+H59+H60+H64+H65</f>
        <v>6981.0917300000001</v>
      </c>
      <c r="I66" s="172"/>
      <c r="J66" s="172"/>
      <c r="K66" s="188"/>
      <c r="L66" s="105"/>
      <c r="M66" s="105"/>
    </row>
    <row r="67" spans="2:13" s="3" customFormat="1" ht="19.350000000000001" customHeight="1" thickBot="1" x14ac:dyDescent="0.35">
      <c r="B67" s="157"/>
      <c r="C67" s="434" t="s">
        <v>118</v>
      </c>
      <c r="D67" s="434"/>
      <c r="E67" s="434"/>
      <c r="F67" s="434"/>
      <c r="G67" s="434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21" t="s">
        <v>1</v>
      </c>
      <c r="C72" s="422"/>
      <c r="D72" s="422"/>
      <c r="E72" s="422"/>
      <c r="F72" s="422"/>
      <c r="G72" s="422"/>
      <c r="H72" s="422"/>
      <c r="I72" s="422"/>
      <c r="J72" s="422"/>
      <c r="K72" s="423"/>
      <c r="L72" s="204"/>
      <c r="M72" s="204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24" t="s">
        <v>2</v>
      </c>
      <c r="D74" s="425"/>
      <c r="E74" s="424" t="s">
        <v>20</v>
      </c>
      <c r="F74" s="429"/>
      <c r="G74" s="424" t="s">
        <v>21</v>
      </c>
      <c r="H74" s="425"/>
      <c r="I74" s="156"/>
      <c r="J74" s="156"/>
      <c r="K74" s="115"/>
      <c r="L74" s="136"/>
      <c r="M74" s="136"/>
    </row>
    <row r="75" spans="2:13" ht="14.4" x14ac:dyDescent="0.3">
      <c r="B75" s="247"/>
      <c r="C75" s="165" t="s">
        <v>27</v>
      </c>
      <c r="D75" s="169">
        <v>105159</v>
      </c>
      <c r="E75" s="248" t="s">
        <v>5</v>
      </c>
      <c r="F75" s="241">
        <v>39146</v>
      </c>
      <c r="G75" s="249" t="s">
        <v>25</v>
      </c>
      <c r="H75" s="241">
        <v>11497</v>
      </c>
      <c r="I75" s="166"/>
      <c r="J75" s="166"/>
      <c r="K75" s="250"/>
      <c r="L75" s="291"/>
      <c r="M75" s="136"/>
    </row>
    <row r="76" spans="2:13" ht="14.4" x14ac:dyDescent="0.3">
      <c r="B76" s="247"/>
      <c r="C76" s="165" t="s">
        <v>3</v>
      </c>
      <c r="D76" s="169">
        <v>96159</v>
      </c>
      <c r="E76" s="251" t="s">
        <v>6</v>
      </c>
      <c r="F76" s="169">
        <v>65362</v>
      </c>
      <c r="G76" s="249" t="s">
        <v>78</v>
      </c>
      <c r="H76" s="169">
        <v>48756</v>
      </c>
      <c r="I76" s="166"/>
      <c r="J76" s="166"/>
      <c r="K76" s="250"/>
      <c r="L76" s="291"/>
      <c r="M76" s="136"/>
    </row>
    <row r="77" spans="2:13" ht="16.8" thickBot="1" x14ac:dyDescent="0.35">
      <c r="B77" s="247"/>
      <c r="C77" s="165" t="s">
        <v>125</v>
      </c>
      <c r="D77" s="169">
        <v>13682</v>
      </c>
      <c r="E77" s="165" t="s">
        <v>93</v>
      </c>
      <c r="F77" s="169">
        <v>651</v>
      </c>
      <c r="G77" s="249" t="s">
        <v>79</v>
      </c>
      <c r="H77" s="169">
        <v>5109</v>
      </c>
      <c r="I77" s="166"/>
      <c r="J77" s="166"/>
      <c r="K77" s="250"/>
      <c r="L77" s="291"/>
      <c r="M77" s="136"/>
    </row>
    <row r="78" spans="2:13" ht="14.1" customHeight="1" thickBot="1" x14ac:dyDescent="0.35">
      <c r="B78" s="247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2"/>
      <c r="L78" s="255"/>
      <c r="M78" s="118"/>
    </row>
    <row r="79" spans="2:13" ht="12" customHeight="1" x14ac:dyDescent="0.3">
      <c r="B79" s="247"/>
      <c r="C79" s="311" t="s">
        <v>126</v>
      </c>
      <c r="D79" s="200"/>
      <c r="E79" s="200"/>
      <c r="F79" s="200"/>
      <c r="G79" s="200"/>
      <c r="H79" s="200"/>
      <c r="I79" s="254"/>
      <c r="J79" s="255"/>
      <c r="K79" s="252"/>
      <c r="L79" s="255"/>
      <c r="M79" s="118"/>
    </row>
    <row r="80" spans="2:13" ht="14.25" customHeight="1" x14ac:dyDescent="0.3">
      <c r="B80" s="247"/>
      <c r="C80" s="433"/>
      <c r="D80" s="433"/>
      <c r="E80" s="433"/>
      <c r="F80" s="433"/>
      <c r="G80" s="433"/>
      <c r="H80" s="433"/>
      <c r="I80" s="254"/>
      <c r="J80" s="255"/>
      <c r="K80" s="252"/>
      <c r="L80" s="255"/>
      <c r="M80" s="118"/>
    </row>
    <row r="81" spans="1:13" ht="6" customHeight="1" thickBot="1" x14ac:dyDescent="0.35">
      <c r="B81" s="247"/>
      <c r="C81" s="433"/>
      <c r="D81" s="433"/>
      <c r="E81" s="433"/>
      <c r="F81" s="433"/>
      <c r="G81" s="433"/>
      <c r="H81" s="433"/>
      <c r="I81" s="255"/>
      <c r="J81" s="255"/>
      <c r="K81" s="252"/>
      <c r="L81" s="255"/>
      <c r="M81" s="118"/>
    </row>
    <row r="82" spans="1:13" ht="14.1" customHeight="1" x14ac:dyDescent="0.3">
      <c r="B82" s="430" t="s">
        <v>8</v>
      </c>
      <c r="C82" s="431"/>
      <c r="D82" s="431"/>
      <c r="E82" s="431"/>
      <c r="F82" s="431"/>
      <c r="G82" s="431"/>
      <c r="H82" s="431"/>
      <c r="I82" s="431"/>
      <c r="J82" s="431"/>
      <c r="K82" s="432"/>
      <c r="L82" s="292"/>
      <c r="M82" s="204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3" t="s">
        <v>70</v>
      </c>
      <c r="E84" s="323" t="s">
        <v>98</v>
      </c>
      <c r="F84" s="194" t="str">
        <f>F19</f>
        <v>LANDET KVANTUM UKE 24</v>
      </c>
      <c r="G84" s="194" t="str">
        <f>G19</f>
        <v>LANDET KVANTUM T.O.M UKE 24</v>
      </c>
      <c r="H84" s="194" t="str">
        <f>I19</f>
        <v>RESTKVOTER</v>
      </c>
      <c r="I84" s="195" t="str">
        <f>J19</f>
        <v>LANDET KVANTUM T.O.M. UKE 24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1" t="s">
        <v>16</v>
      </c>
      <c r="D85" s="312">
        <f>D87+D86</f>
        <v>40215</v>
      </c>
      <c r="E85" s="312">
        <f>E87+E86</f>
        <v>38762</v>
      </c>
      <c r="F85" s="312">
        <f>F87+F86</f>
        <v>337.76553999999999</v>
      </c>
      <c r="G85" s="312">
        <f>G86+G87</f>
        <v>24925.043999999998</v>
      </c>
      <c r="H85" s="326">
        <f>H86+H87</f>
        <v>13836.956</v>
      </c>
      <c r="I85" s="327">
        <f>I86+I87</f>
        <v>26462.595870000001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59" t="s">
        <v>12</v>
      </c>
      <c r="D86" s="313">
        <v>39465</v>
      </c>
      <c r="E86" s="313">
        <v>37937</v>
      </c>
      <c r="F86" s="313">
        <v>337.76553999999999</v>
      </c>
      <c r="G86" s="313">
        <v>24685.692999999999</v>
      </c>
      <c r="H86" s="328">
        <f>E86-G86</f>
        <v>13251.307000000001</v>
      </c>
      <c r="I86" s="329">
        <v>26152.13852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2" t="s">
        <v>11</v>
      </c>
      <c r="D87" s="322">
        <v>750</v>
      </c>
      <c r="E87" s="322">
        <v>825</v>
      </c>
      <c r="F87" s="322"/>
      <c r="G87" s="322">
        <v>239.351</v>
      </c>
      <c r="H87" s="330">
        <f>E87-G87</f>
        <v>585.649</v>
      </c>
      <c r="I87" s="331">
        <v>310.45735000000002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8" t="s">
        <v>17</v>
      </c>
      <c r="D88" s="312">
        <f t="shared" ref="D88" si="1">D89+D94+D95</f>
        <v>67105</v>
      </c>
      <c r="E88" s="312">
        <f t="shared" ref="E88:I88" si="2">E89+E94+E95</f>
        <v>70774</v>
      </c>
      <c r="F88" s="312">
        <f t="shared" si="2"/>
        <v>659.92650000000003</v>
      </c>
      <c r="G88" s="312">
        <f t="shared" si="2"/>
        <v>31561.617430000002</v>
      </c>
      <c r="H88" s="326">
        <f>H89+H94+H95</f>
        <v>39212.382570000002</v>
      </c>
      <c r="I88" s="327">
        <f t="shared" si="2"/>
        <v>32212.152429999998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5" t="s">
        <v>80</v>
      </c>
      <c r="D89" s="314">
        <f t="shared" ref="D89" si="3">D90+D91+D92+D93</f>
        <v>50046</v>
      </c>
      <c r="E89" s="314">
        <f t="shared" ref="E89:I89" si="4">E90+E91+E92+E93</f>
        <v>54332</v>
      </c>
      <c r="F89" s="314">
        <f t="shared" si="4"/>
        <v>624.41047000000003</v>
      </c>
      <c r="G89" s="314">
        <f t="shared" si="4"/>
        <v>24613.294330000001</v>
      </c>
      <c r="H89" s="332">
        <f>H90+H91+H92+H93</f>
        <v>29718.705669999999</v>
      </c>
      <c r="I89" s="333">
        <f t="shared" si="4"/>
        <v>24217.733270000001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4" t="s">
        <v>22</v>
      </c>
      <c r="D90" s="315">
        <v>13337</v>
      </c>
      <c r="E90" s="315">
        <v>14884</v>
      </c>
      <c r="F90" s="315">
        <v>52.643439999999998</v>
      </c>
      <c r="G90" s="315">
        <v>3177.7863699999998</v>
      </c>
      <c r="H90" s="334">
        <f t="shared" ref="H90:H98" si="5">E90-G90</f>
        <v>11706.21363</v>
      </c>
      <c r="I90" s="335">
        <v>3112.49766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4" t="s">
        <v>23</v>
      </c>
      <c r="D91" s="315">
        <v>13743</v>
      </c>
      <c r="E91" s="315">
        <v>15259</v>
      </c>
      <c r="F91" s="315">
        <v>70.033580000000001</v>
      </c>
      <c r="G91" s="315">
        <v>7581.05591</v>
      </c>
      <c r="H91" s="334">
        <f t="shared" si="5"/>
        <v>7677.94409</v>
      </c>
      <c r="I91" s="335">
        <v>7037.3843299999999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4" t="s">
        <v>24</v>
      </c>
      <c r="D92" s="315">
        <v>14275</v>
      </c>
      <c r="E92" s="315">
        <v>15859</v>
      </c>
      <c r="F92" s="315">
        <v>291.41464999999999</v>
      </c>
      <c r="G92" s="315">
        <v>8192.1722900000004</v>
      </c>
      <c r="H92" s="334">
        <f t="shared" si="5"/>
        <v>7666.8277099999996</v>
      </c>
      <c r="I92" s="335">
        <v>8423.9017000000003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4" t="s">
        <v>82</v>
      </c>
      <c r="D93" s="315">
        <v>8691</v>
      </c>
      <c r="E93" s="315">
        <v>8330</v>
      </c>
      <c r="F93" s="315">
        <v>210.31880000000001</v>
      </c>
      <c r="G93" s="315">
        <v>5662.2797600000004</v>
      </c>
      <c r="H93" s="334">
        <f t="shared" si="5"/>
        <v>2667.7202399999996</v>
      </c>
      <c r="I93" s="335">
        <v>5643.9495800000004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5" t="s">
        <v>29</v>
      </c>
      <c r="D94" s="314">
        <v>11810</v>
      </c>
      <c r="E94" s="314">
        <v>11135</v>
      </c>
      <c r="F94" s="314">
        <v>25.33614</v>
      </c>
      <c r="G94" s="314">
        <v>5968.1863599999997</v>
      </c>
      <c r="H94" s="332">
        <f t="shared" si="5"/>
        <v>5166.8136400000003</v>
      </c>
      <c r="I94" s="333">
        <v>7180.3597600000003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6" t="s">
        <v>79</v>
      </c>
      <c r="D95" s="320">
        <v>5249</v>
      </c>
      <c r="E95" s="320">
        <v>5307</v>
      </c>
      <c r="F95" s="320">
        <v>10.17989</v>
      </c>
      <c r="G95" s="320">
        <v>980.13674000000003</v>
      </c>
      <c r="H95" s="343">
        <f t="shared" si="5"/>
        <v>4326.8632600000001</v>
      </c>
      <c r="I95" s="344">
        <v>814.05939999999998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77">
        <v>351</v>
      </c>
      <c r="E96" s="377">
        <v>351</v>
      </c>
      <c r="F96" s="377"/>
      <c r="G96" s="377">
        <v>9.4123000000000001</v>
      </c>
      <c r="H96" s="339">
        <f t="shared" si="5"/>
        <v>341.58769999999998</v>
      </c>
      <c r="I96" s="340">
        <v>17.88006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7">
        <v>300</v>
      </c>
      <c r="E97" s="317">
        <v>300</v>
      </c>
      <c r="F97" s="317">
        <v>0.13114999999999999</v>
      </c>
      <c r="G97" s="317">
        <v>300</v>
      </c>
      <c r="H97" s="318">
        <f t="shared" si="5"/>
        <v>0</v>
      </c>
      <c r="I97" s="321">
        <v>300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7" t="s">
        <v>115</v>
      </c>
      <c r="D98" s="317"/>
      <c r="E98" s="317"/>
      <c r="F98" s="317"/>
      <c r="G98" s="317">
        <v>9</v>
      </c>
      <c r="H98" s="318">
        <f t="shared" si="5"/>
        <v>-9</v>
      </c>
      <c r="I98" s="321">
        <v>36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19">
        <f>D85+D88+D96+D97+D98</f>
        <v>107971</v>
      </c>
      <c r="E99" s="319">
        <f>E85+E88+E96+E97+E98</f>
        <v>110187</v>
      </c>
      <c r="F99" s="319">
        <f t="shared" ref="F99:G99" si="6">F85+F88+F96+F97+F98</f>
        <v>997.82319000000007</v>
      </c>
      <c r="G99" s="319">
        <f t="shared" si="6"/>
        <v>56805.073730000004</v>
      </c>
      <c r="H99" s="221">
        <f>H85+H88+H96+H97+H98</f>
        <v>53381.926269999996</v>
      </c>
      <c r="I99" s="197">
        <f>I85+I88+I96+I97+I98</f>
        <v>59028.628360000002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117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1" t="s">
        <v>132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1" t="s">
        <v>103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2" t="s">
        <v>116</v>
      </c>
      <c r="D103" s="202"/>
      <c r="E103" s="202"/>
      <c r="F103" s="202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21" t="s">
        <v>1</v>
      </c>
      <c r="C106" s="422"/>
      <c r="D106" s="422"/>
      <c r="E106" s="422"/>
      <c r="F106" s="422"/>
      <c r="G106" s="422"/>
      <c r="H106" s="422"/>
      <c r="I106" s="422"/>
      <c r="J106" s="422"/>
      <c r="K106" s="423"/>
      <c r="L106" s="204"/>
      <c r="M106" s="204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24" t="s">
        <v>2</v>
      </c>
      <c r="D108" s="425"/>
      <c r="E108" s="424" t="s">
        <v>20</v>
      </c>
      <c r="F108" s="425"/>
      <c r="G108" s="424" t="s">
        <v>21</v>
      </c>
      <c r="H108" s="425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1">
        <v>56470</v>
      </c>
      <c r="G109" s="165" t="s">
        <v>25</v>
      </c>
      <c r="H109" s="241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381"/>
      <c r="D112" s="379"/>
      <c r="E112" s="379" t="s">
        <v>77</v>
      </c>
      <c r="F112" s="169">
        <v>3861</v>
      </c>
      <c r="G112" s="11"/>
      <c r="H112" s="381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380" t="s">
        <v>7</v>
      </c>
      <c r="F113" s="170">
        <f>F109+F110+F111+F112</f>
        <v>156482</v>
      </c>
      <c r="G113" s="121" t="s">
        <v>6</v>
      </c>
      <c r="H113" s="37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119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26" t="s">
        <v>8</v>
      </c>
      <c r="C116" s="427"/>
      <c r="D116" s="427"/>
      <c r="E116" s="427"/>
      <c r="F116" s="427"/>
      <c r="G116" s="427"/>
      <c r="H116" s="427"/>
      <c r="I116" s="427"/>
      <c r="J116" s="427"/>
      <c r="K116" s="428"/>
      <c r="L116" s="204"/>
      <c r="M116" s="204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7" t="s">
        <v>19</v>
      </c>
      <c r="D118" s="178" t="s">
        <v>70</v>
      </c>
      <c r="E118" s="178" t="s">
        <v>99</v>
      </c>
      <c r="F118" s="187" t="str">
        <f>F19</f>
        <v>LANDET KVANTUM UKE 24</v>
      </c>
      <c r="G118" s="194" t="str">
        <f>G19</f>
        <v>LANDET KVANTUM T.O.M UKE 24</v>
      </c>
      <c r="H118" s="194" t="str">
        <f>I19</f>
        <v>RESTKVOTER</v>
      </c>
      <c r="I118" s="195" t="str">
        <f>J19</f>
        <v>LANDET KVANTUM T.O.M. UKE 24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8" t="s">
        <v>74</v>
      </c>
      <c r="D119" s="231">
        <f t="shared" ref="D119:E119" si="7">D120+D121+D122</f>
        <v>56470</v>
      </c>
      <c r="E119" s="231">
        <f t="shared" si="7"/>
        <v>52057</v>
      </c>
      <c r="F119" s="231">
        <f t="shared" ref="F119:I119" si="8">F120+F121+F122</f>
        <v>1473.4889800000001</v>
      </c>
      <c r="G119" s="231">
        <f t="shared" si="8"/>
        <v>35368.110500000003</v>
      </c>
      <c r="H119" s="345">
        <f t="shared" si="8"/>
        <v>15407.15149</v>
      </c>
      <c r="I119" s="347">
        <f t="shared" si="8"/>
        <v>29697.697260000001</v>
      </c>
      <c r="J119" s="156"/>
      <c r="K119" s="128"/>
      <c r="L119" s="156"/>
      <c r="M119" s="156"/>
    </row>
    <row r="120" spans="2:13" ht="14.1" customHeight="1" x14ac:dyDescent="0.3">
      <c r="B120" s="9"/>
      <c r="C120" s="259" t="s">
        <v>12</v>
      </c>
      <c r="D120" s="243">
        <v>45176</v>
      </c>
      <c r="E120" s="243">
        <v>41220</v>
      </c>
      <c r="F120" s="243">
        <v>1454.7941800000001</v>
      </c>
      <c r="G120" s="243">
        <v>31766.697029999999</v>
      </c>
      <c r="H120" s="348">
        <v>13256.07516</v>
      </c>
      <c r="I120" s="349">
        <v>24360.517500000002</v>
      </c>
      <c r="J120" s="156"/>
      <c r="K120" s="128"/>
      <c r="L120" s="156"/>
      <c r="M120" s="156"/>
    </row>
    <row r="121" spans="2:13" ht="14.1" customHeight="1" x14ac:dyDescent="0.3">
      <c r="B121" s="9"/>
      <c r="C121" s="259" t="s">
        <v>11</v>
      </c>
      <c r="D121" s="243">
        <v>10794</v>
      </c>
      <c r="E121" s="243">
        <v>10337</v>
      </c>
      <c r="F121" s="243">
        <v>18.694800000000001</v>
      </c>
      <c r="G121" s="243">
        <v>3601.41347</v>
      </c>
      <c r="H121" s="348">
        <v>1651.0763300000001</v>
      </c>
      <c r="I121" s="349">
        <v>5337.17976</v>
      </c>
      <c r="J121" s="156"/>
      <c r="K121" s="128"/>
      <c r="L121" s="156"/>
      <c r="M121" s="156"/>
    </row>
    <row r="122" spans="2:13" ht="15" thickBot="1" x14ac:dyDescent="0.35">
      <c r="B122" s="9"/>
      <c r="C122" s="260" t="s">
        <v>39</v>
      </c>
      <c r="D122" s="244">
        <v>500</v>
      </c>
      <c r="E122" s="244">
        <v>500</v>
      </c>
      <c r="F122" s="244"/>
      <c r="G122" s="244"/>
      <c r="H122" s="350">
        <f>E122-G122</f>
        <v>500</v>
      </c>
      <c r="I122" s="351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1" t="s">
        <v>38</v>
      </c>
      <c r="D123" s="294">
        <v>38155</v>
      </c>
      <c r="E123" s="294">
        <v>34652</v>
      </c>
      <c r="F123" s="294">
        <v>1454.7008599999999</v>
      </c>
      <c r="G123" s="294">
        <f>10625.61643+806.55885</f>
        <v>11432.175279999999</v>
      </c>
      <c r="H123" s="297">
        <f>E123-G123</f>
        <v>23219.824720000001</v>
      </c>
      <c r="I123" s="299">
        <v>13108.69139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2" t="s">
        <v>17</v>
      </c>
      <c r="D124" s="225">
        <f>D125+D130+D133</f>
        <v>59468</v>
      </c>
      <c r="E124" s="225">
        <f>E125+E130+E133</f>
        <v>53642</v>
      </c>
      <c r="F124" s="225">
        <f>F125+F130+F133</f>
        <v>561.61359000000004</v>
      </c>
      <c r="G124" s="225">
        <f>G133+G130+G125</f>
        <v>31253.945749999999</v>
      </c>
      <c r="H124" s="352">
        <f>H125+H130+H133</f>
        <v>22388.054250000001</v>
      </c>
      <c r="I124" s="353">
        <f>I125+I130+I133</f>
        <v>36636.069689999997</v>
      </c>
      <c r="J124" s="118"/>
      <c r="K124" s="128"/>
      <c r="L124" s="156"/>
      <c r="M124" s="156"/>
    </row>
    <row r="125" spans="2:13" ht="15.75" customHeight="1" x14ac:dyDescent="0.3">
      <c r="B125" s="2"/>
      <c r="C125" s="263" t="s">
        <v>85</v>
      </c>
      <c r="D125" s="367">
        <f>D126+D127+D128+D129</f>
        <v>44969</v>
      </c>
      <c r="E125" s="367">
        <f>E126+E127+E128+E129</f>
        <v>40509</v>
      </c>
      <c r="F125" s="367">
        <f>F126+F127+F128+F129</f>
        <v>388.10347999999999</v>
      </c>
      <c r="G125" s="367">
        <f>G126+G127+G129+G128</f>
        <v>22385.02895</v>
      </c>
      <c r="H125" s="354">
        <f>H126+H127+H128+H129</f>
        <v>18123.97105</v>
      </c>
      <c r="I125" s="355">
        <f>I126+I127+I128+I129</f>
        <v>27102.34374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4" t="s">
        <v>22</v>
      </c>
      <c r="D126" s="239">
        <v>11917</v>
      </c>
      <c r="E126" s="239">
        <v>12976</v>
      </c>
      <c r="F126" s="239">
        <v>136.40012999999999</v>
      </c>
      <c r="G126" s="239">
        <v>4705.6691899999996</v>
      </c>
      <c r="H126" s="356">
        <f t="shared" ref="H126:H138" si="9">E126-G126</f>
        <v>8270.3308099999995</v>
      </c>
      <c r="I126" s="357">
        <v>4333.6139000000003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4" t="s">
        <v>23</v>
      </c>
      <c r="D127" s="239">
        <v>12852</v>
      </c>
      <c r="E127" s="239">
        <v>10724</v>
      </c>
      <c r="F127" s="239">
        <v>59.731029999999997</v>
      </c>
      <c r="G127" s="239">
        <f>6372.89484-111.131</f>
        <v>6261.7638399999996</v>
      </c>
      <c r="H127" s="356">
        <f t="shared" si="9"/>
        <v>4462.2361600000004</v>
      </c>
      <c r="I127" s="357">
        <v>7207.3366999999998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4" t="s">
        <v>24</v>
      </c>
      <c r="D128" s="239">
        <v>11166</v>
      </c>
      <c r="E128" s="239">
        <v>8990</v>
      </c>
      <c r="F128" s="239">
        <v>88.359539999999996</v>
      </c>
      <c r="G128" s="239">
        <f>6844.13627-309.30555</f>
        <v>6534.8307199999999</v>
      </c>
      <c r="H128" s="356">
        <f t="shared" si="9"/>
        <v>2455.1692800000001</v>
      </c>
      <c r="I128" s="357">
        <v>8079.8044499999996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4" t="s">
        <v>82</v>
      </c>
      <c r="D129" s="239">
        <v>9034</v>
      </c>
      <c r="E129" s="239">
        <v>7819</v>
      </c>
      <c r="F129" s="239">
        <v>103.61278</v>
      </c>
      <c r="G129" s="239">
        <f>5268.8875-386.1223</f>
        <v>4882.7651999999998</v>
      </c>
      <c r="H129" s="356">
        <f t="shared" si="9"/>
        <v>2936.2348000000002</v>
      </c>
      <c r="I129" s="357">
        <v>7481.5886899999996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5" t="s">
        <v>18</v>
      </c>
      <c r="D130" s="232">
        <f>D132+D131</f>
        <v>6380</v>
      </c>
      <c r="E130" s="232">
        <v>5924</v>
      </c>
      <c r="F130" s="232">
        <v>69.148629999999997</v>
      </c>
      <c r="G130" s="232">
        <v>5694.6562400000003</v>
      </c>
      <c r="H130" s="358">
        <f t="shared" si="9"/>
        <v>229.34375999999975</v>
      </c>
      <c r="I130" s="406">
        <v>6213.95964</v>
      </c>
      <c r="J130" s="39"/>
      <c r="K130" s="128"/>
      <c r="L130" s="156"/>
      <c r="M130" s="156"/>
    </row>
    <row r="131" spans="2:13" ht="14.1" customHeight="1" x14ac:dyDescent="0.3">
      <c r="B131" s="9"/>
      <c r="C131" s="264" t="s">
        <v>40</v>
      </c>
      <c r="D131" s="239">
        <v>5880</v>
      </c>
      <c r="E131" s="239">
        <f>E130-500</f>
        <v>5424</v>
      </c>
      <c r="F131" s="239">
        <v>69.148629999999997</v>
      </c>
      <c r="G131" s="239">
        <v>5667.2163899999996</v>
      </c>
      <c r="H131" s="356">
        <f t="shared" si="9"/>
        <v>-243.21638999999959</v>
      </c>
      <c r="I131" s="357">
        <v>6171.0311300000003</v>
      </c>
      <c r="J131" s="118"/>
      <c r="K131" s="128"/>
      <c r="L131" s="156"/>
      <c r="M131" s="156"/>
    </row>
    <row r="132" spans="2:13" ht="14.1" customHeight="1" x14ac:dyDescent="0.3">
      <c r="B132" s="20"/>
      <c r="C132" s="264" t="s">
        <v>41</v>
      </c>
      <c r="D132" s="239">
        <v>500</v>
      </c>
      <c r="E132" s="239">
        <v>500</v>
      </c>
      <c r="F132" s="239">
        <f>F130-F131</f>
        <v>0</v>
      </c>
      <c r="G132" s="239">
        <f>G130-G131</f>
        <v>27.439850000000661</v>
      </c>
      <c r="H132" s="356">
        <f t="shared" si="9"/>
        <v>472.56014999999934</v>
      </c>
      <c r="I132" s="357">
        <f>I130-I131</f>
        <v>42.928509999999733</v>
      </c>
      <c r="J132" s="39"/>
      <c r="K132" s="128"/>
      <c r="L132" s="156"/>
      <c r="M132" s="156"/>
    </row>
    <row r="133" spans="2:13" ht="15" thickBot="1" x14ac:dyDescent="0.35">
      <c r="B133" s="9"/>
      <c r="C133" s="266" t="s">
        <v>79</v>
      </c>
      <c r="D133" s="256">
        <v>8119</v>
      </c>
      <c r="E133" s="256">
        <v>7209</v>
      </c>
      <c r="F133" s="256">
        <v>104.36148</v>
      </c>
      <c r="G133" s="256">
        <v>3174.2605600000002</v>
      </c>
      <c r="H133" s="359">
        <f t="shared" si="9"/>
        <v>4034.7394399999998</v>
      </c>
      <c r="I133" s="405">
        <v>3319.76631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2" t="s">
        <v>13</v>
      </c>
      <c r="D134" s="225">
        <v>139</v>
      </c>
      <c r="E134" s="225">
        <f>D134</f>
        <v>139</v>
      </c>
      <c r="F134" s="225">
        <v>0</v>
      </c>
      <c r="G134" s="225">
        <v>12.69735</v>
      </c>
      <c r="H134" s="368">
        <f t="shared" si="9"/>
        <v>126.30265</v>
      </c>
      <c r="I134" s="369">
        <v>12.166</v>
      </c>
      <c r="J134" s="118"/>
      <c r="K134" s="128"/>
      <c r="L134" s="156"/>
      <c r="M134" s="156"/>
    </row>
    <row r="135" spans="2:13" s="70" customFormat="1" ht="15" thickBot="1" x14ac:dyDescent="0.35">
      <c r="B135" s="9"/>
      <c r="C135" s="267" t="s">
        <v>42</v>
      </c>
      <c r="D135" s="295">
        <v>250</v>
      </c>
      <c r="E135" s="295">
        <v>250</v>
      </c>
      <c r="F135" s="295">
        <v>0</v>
      </c>
      <c r="G135" s="295">
        <v>207.3338</v>
      </c>
      <c r="H135" s="298">
        <f t="shared" si="9"/>
        <v>42.666200000000003</v>
      </c>
      <c r="I135" s="300">
        <v>202.68</v>
      </c>
      <c r="J135" s="118"/>
      <c r="K135" s="128"/>
      <c r="L135" s="156"/>
      <c r="M135" s="156"/>
    </row>
    <row r="136" spans="2:13" s="70" customFormat="1" ht="16.8" thickBot="1" x14ac:dyDescent="0.35">
      <c r="B136" s="9"/>
      <c r="C136" s="267" t="s">
        <v>65</v>
      </c>
      <c r="D136" s="225">
        <v>2000</v>
      </c>
      <c r="E136" s="225">
        <v>2000</v>
      </c>
      <c r="F136" s="225">
        <v>10.683730000000001</v>
      </c>
      <c r="G136" s="225">
        <v>2000</v>
      </c>
      <c r="H136" s="229">
        <f>E136-G136</f>
        <v>0</v>
      </c>
      <c r="I136" s="230">
        <v>2000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8" t="s">
        <v>14</v>
      </c>
      <c r="D137" s="224"/>
      <c r="E137" s="224"/>
      <c r="F137" s="224">
        <v>3</v>
      </c>
      <c r="G137" s="224">
        <v>490</v>
      </c>
      <c r="H137" s="233">
        <f t="shared" si="9"/>
        <v>-490</v>
      </c>
      <c r="I137" s="296">
        <v>228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3503.4871600000001</v>
      </c>
      <c r="G138" s="186">
        <f>G119+G123+G124+G134+G135+G136+G137</f>
        <v>80764.26268</v>
      </c>
      <c r="H138" s="199">
        <f t="shared" si="9"/>
        <v>61975.73732</v>
      </c>
      <c r="I138" s="197">
        <f>I119+I122+I123+I124+I134+I135+I136+I137</f>
        <v>81885.304339999988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1" t="s">
        <v>94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120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1" t="s">
        <v>133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102</v>
      </c>
      <c r="D142" s="205"/>
      <c r="E142" s="205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5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09"/>
      <c r="C147" s="210"/>
      <c r="D147" s="211"/>
      <c r="E147" s="211"/>
      <c r="F147" s="211"/>
      <c r="G147" s="211"/>
      <c r="H147" s="212"/>
      <c r="I147" s="212"/>
      <c r="J147" s="212"/>
      <c r="K147" s="213"/>
      <c r="L147" s="118"/>
      <c r="M147" s="118"/>
    </row>
    <row r="148" spans="2:13" ht="12" customHeight="1" thickBot="1" x14ac:dyDescent="0.35">
      <c r="B148" s="119"/>
      <c r="C148" s="413" t="s">
        <v>2</v>
      </c>
      <c r="D148" s="41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8" t="s">
        <v>55</v>
      </c>
      <c r="D149" s="269">
        <v>36219</v>
      </c>
      <c r="E149" s="270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1" t="s">
        <v>67</v>
      </c>
      <c r="D150" s="272">
        <v>13055</v>
      </c>
      <c r="E150" s="270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3" t="s">
        <v>68</v>
      </c>
      <c r="D151" s="272">
        <v>6586</v>
      </c>
      <c r="E151" s="270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4" t="s">
        <v>31</v>
      </c>
      <c r="D152" s="275">
        <f>D149+D150+D151</f>
        <v>55860</v>
      </c>
      <c r="E152" s="270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6" t="s">
        <v>121</v>
      </c>
      <c r="D153" s="277"/>
      <c r="E153" s="277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6" t="s">
        <v>122</v>
      </c>
      <c r="D154" s="277"/>
      <c r="E154" s="277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123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63" thickBot="1" x14ac:dyDescent="0.35">
      <c r="B157" s="119"/>
      <c r="C157" s="106" t="s">
        <v>19</v>
      </c>
      <c r="D157" s="113" t="s">
        <v>20</v>
      </c>
      <c r="E157" s="69" t="str">
        <f>F19</f>
        <v>LANDET KVANTUM UKE 24</v>
      </c>
      <c r="F157" s="69" t="str">
        <f>G19</f>
        <v>LANDET KVANTUM T.O.M UKE 24</v>
      </c>
      <c r="G157" s="69" t="str">
        <f>I19</f>
        <v>RESTKVOTER</v>
      </c>
      <c r="H157" s="92" t="str">
        <f>J19</f>
        <v>LANDET KVANTUM T.O.M. UKE 24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1233.7269100000001</v>
      </c>
      <c r="F158" s="183">
        <v>15825.46531</v>
      </c>
      <c r="G158" s="183">
        <f>D158-F158</f>
        <v>20259.53469</v>
      </c>
      <c r="H158" s="219">
        <v>11008.517690000001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>
        <v>0.27560000000000001</v>
      </c>
      <c r="F159" s="183">
        <v>6.7943100000000003</v>
      </c>
      <c r="G159" s="183">
        <f>D159-F159</f>
        <v>93.205690000000004</v>
      </c>
      <c r="H159" s="219">
        <v>19.353370000000002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0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1234.00251</v>
      </c>
      <c r="F161" s="185">
        <f>SUM(F158:F160)</f>
        <v>15832.259619999999</v>
      </c>
      <c r="G161" s="185">
        <f>D161-F161</f>
        <v>20386.740380000003</v>
      </c>
      <c r="H161" s="206">
        <f>SUM(H158:H160)</f>
        <v>11027.871060000001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8"/>
      <c r="G162" s="208"/>
      <c r="H162" s="208"/>
      <c r="I162" s="208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4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10" t="s">
        <v>1</v>
      </c>
      <c r="C164" s="411"/>
      <c r="D164" s="411"/>
      <c r="E164" s="411"/>
      <c r="F164" s="411"/>
      <c r="G164" s="411"/>
      <c r="H164" s="411"/>
      <c r="I164" s="411"/>
      <c r="J164" s="411"/>
      <c r="K164" s="41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13" t="s">
        <v>2</v>
      </c>
      <c r="D166" s="414"/>
      <c r="E166" s="413" t="s">
        <v>53</v>
      </c>
      <c r="F166" s="414"/>
      <c r="G166" s="413" t="s">
        <v>54</v>
      </c>
      <c r="H166" s="41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8" t="s">
        <v>55</v>
      </c>
      <c r="D167" s="278">
        <v>40823</v>
      </c>
      <c r="E167" s="279" t="s">
        <v>5</v>
      </c>
      <c r="F167" s="280">
        <v>27313</v>
      </c>
      <c r="G167" s="271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1" t="s">
        <v>44</v>
      </c>
      <c r="D168" s="281">
        <v>38310</v>
      </c>
      <c r="E168" s="282" t="s">
        <v>45</v>
      </c>
      <c r="F168" s="283">
        <v>8000</v>
      </c>
      <c r="G168" s="271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1"/>
      <c r="D169" s="281"/>
      <c r="E169" s="282" t="s">
        <v>38</v>
      </c>
      <c r="F169" s="283">
        <v>5500</v>
      </c>
      <c r="G169" s="271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1"/>
      <c r="D170" s="281"/>
      <c r="E170" s="282"/>
      <c r="F170" s="283"/>
      <c r="G170" s="271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4">
        <f>SUM(D167:D170)</f>
        <v>79133</v>
      </c>
      <c r="E171" s="285" t="s">
        <v>57</v>
      </c>
      <c r="F171" s="284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3" t="s">
        <v>92</v>
      </c>
      <c r="D172" s="282"/>
      <c r="E172" s="282"/>
      <c r="F172" s="282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6" t="s">
        <v>96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15" t="s">
        <v>8</v>
      </c>
      <c r="C175" s="416"/>
      <c r="D175" s="416"/>
      <c r="E175" s="416"/>
      <c r="F175" s="416"/>
      <c r="G175" s="416"/>
      <c r="H175" s="416"/>
      <c r="I175" s="416"/>
      <c r="J175" s="416"/>
      <c r="K175" s="41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100</v>
      </c>
      <c r="F177" s="222" t="str">
        <f>F19</f>
        <v>LANDET KVANTUM UKE 24</v>
      </c>
      <c r="G177" s="69" t="str">
        <f>G19</f>
        <v>LANDET KVANTUM T.O.M UKE 24</v>
      </c>
      <c r="H177" s="69" t="str">
        <f>I19</f>
        <v>RESTKVOTER</v>
      </c>
      <c r="I177" s="92" t="str">
        <f>J19</f>
        <v>LANDET KVANTUM T.O.M. UKE 24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6">
        <f t="shared" ref="D178" si="10">D179+D180+D181+D182</f>
        <v>27212</v>
      </c>
      <c r="E178" s="226">
        <f t="shared" ref="E178:H178" si="11">E179+E180+E181+E182</f>
        <v>30289</v>
      </c>
      <c r="F178" s="226">
        <f>F179+F180+F181+F182</f>
        <v>105.08865</v>
      </c>
      <c r="G178" s="226">
        <f t="shared" si="11"/>
        <v>5567.2330199999997</v>
      </c>
      <c r="H178" s="303">
        <f t="shared" si="11"/>
        <v>24721.766979999997</v>
      </c>
      <c r="I178" s="308">
        <f>I179+I180+I181+I182</f>
        <v>17296.21932</v>
      </c>
      <c r="J178" s="80"/>
      <c r="K178" s="57"/>
      <c r="L178" s="192"/>
      <c r="M178" s="192"/>
    </row>
    <row r="179" spans="1:13" ht="14.1" customHeight="1" x14ac:dyDescent="0.3">
      <c r="B179" s="49"/>
      <c r="C179" s="293" t="s">
        <v>72</v>
      </c>
      <c r="D179" s="287">
        <v>16288</v>
      </c>
      <c r="E179" s="287">
        <v>18521</v>
      </c>
      <c r="F179" s="287"/>
      <c r="G179" s="287">
        <v>2685.4409599999999</v>
      </c>
      <c r="H179" s="301">
        <f t="shared" ref="H179:H184" si="12">E179-G179</f>
        <v>15835.55904</v>
      </c>
      <c r="I179" s="306">
        <v>13726.11573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7">
        <v>4239</v>
      </c>
      <c r="E180" s="287">
        <v>4820</v>
      </c>
      <c r="F180" s="287">
        <v>26.869050000000001</v>
      </c>
      <c r="G180" s="287">
        <v>930.25800000000004</v>
      </c>
      <c r="H180" s="301">
        <f t="shared" si="12"/>
        <v>3889.7420000000002</v>
      </c>
      <c r="I180" s="306">
        <v>1336.41983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7">
        <v>1561</v>
      </c>
      <c r="E181" s="287">
        <v>1617</v>
      </c>
      <c r="F181" s="287">
        <v>25.3596</v>
      </c>
      <c r="G181" s="287">
        <v>1573.27946</v>
      </c>
      <c r="H181" s="301">
        <f t="shared" si="12"/>
        <v>43.720540000000028</v>
      </c>
      <c r="I181" s="306">
        <v>1653.3485599999999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73" t="s">
        <v>105</v>
      </c>
      <c r="D182" s="374">
        <v>5124</v>
      </c>
      <c r="E182" s="374">
        <v>5331</v>
      </c>
      <c r="F182" s="374">
        <v>52.86</v>
      </c>
      <c r="G182" s="374">
        <v>378.25459999999998</v>
      </c>
      <c r="H182" s="375">
        <f t="shared" si="12"/>
        <v>4952.7453999999998</v>
      </c>
      <c r="I182" s="376">
        <v>580.33519999999999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8">
        <v>5500</v>
      </c>
      <c r="E183" s="288">
        <v>5500</v>
      </c>
      <c r="F183" s="288">
        <v>39.633659999999999</v>
      </c>
      <c r="G183" s="288">
        <v>3528.1105200000002</v>
      </c>
      <c r="H183" s="305">
        <f t="shared" si="12"/>
        <v>1971.8894799999998</v>
      </c>
      <c r="I183" s="310">
        <v>4504.63166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6">
        <v>8000</v>
      </c>
      <c r="E184" s="226">
        <v>8000</v>
      </c>
      <c r="F184" s="226">
        <f>F185+F186</f>
        <v>38.773809999999997</v>
      </c>
      <c r="G184" s="226">
        <f>G185+G186</f>
        <v>1885.8512599999999</v>
      </c>
      <c r="H184" s="303">
        <f t="shared" si="12"/>
        <v>6114.1487400000005</v>
      </c>
      <c r="I184" s="308">
        <f>I185+I186</f>
        <v>1398.70505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7"/>
      <c r="E185" s="287"/>
      <c r="F185" s="287"/>
      <c r="G185" s="287">
        <v>296.53388999999999</v>
      </c>
      <c r="H185" s="301"/>
      <c r="I185" s="306">
        <v>174.76074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8"/>
      <c r="E186" s="228"/>
      <c r="F186" s="228">
        <v>38.773809999999997</v>
      </c>
      <c r="G186" s="228">
        <v>1589.31737</v>
      </c>
      <c r="H186" s="304"/>
      <c r="I186" s="309">
        <v>1223.9443100000001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8">
        <v>10</v>
      </c>
      <c r="E187" s="288">
        <v>10</v>
      </c>
      <c r="F187" s="288"/>
      <c r="G187" s="288">
        <v>0.59865000000000002</v>
      </c>
      <c r="H187" s="305">
        <f>E187-G187</f>
        <v>9.4013500000000008</v>
      </c>
      <c r="I187" s="310">
        <v>0.36840000000000001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7"/>
      <c r="E188" s="227"/>
      <c r="F188" s="227">
        <v>0.56494</v>
      </c>
      <c r="G188" s="227">
        <v>27.124269999999999</v>
      </c>
      <c r="H188" s="302">
        <f>E188-G188</f>
        <v>-27.124269999999999</v>
      </c>
      <c r="I188" s="307">
        <v>24.934159999999999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184.06106</v>
      </c>
      <c r="G189" s="186">
        <f>G178+G183+G184+G187+G188</f>
        <v>11008.917719999999</v>
      </c>
      <c r="H189" s="199">
        <f>H178+H183+H184+H187+H188</f>
        <v>32790.082280000002</v>
      </c>
      <c r="I189" s="197">
        <f>I178+I183+I184+I187+I188</f>
        <v>23224.85859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1" t="s">
        <v>73</v>
      </c>
      <c r="D190" s="66"/>
      <c r="E190" s="66"/>
      <c r="F190" s="66"/>
      <c r="G190" s="66"/>
      <c r="H190" s="360"/>
      <c r="I190" s="360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6" t="s">
        <v>104</v>
      </c>
      <c r="D191" s="66"/>
      <c r="E191" s="66"/>
      <c r="F191" s="66"/>
      <c r="G191" s="66"/>
      <c r="H191" s="360"/>
      <c r="I191" s="360"/>
      <c r="J191" s="143"/>
      <c r="K191" s="144"/>
      <c r="L191" s="143"/>
      <c r="M191" s="143"/>
    </row>
    <row r="192" spans="1:13" ht="15" thickBot="1" x14ac:dyDescent="0.35">
      <c r="B192" s="58"/>
      <c r="C192" s="394" t="s">
        <v>106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10" t="s">
        <v>1</v>
      </c>
      <c r="C195" s="411"/>
      <c r="D195" s="411"/>
      <c r="E195" s="411"/>
      <c r="F195" s="411"/>
      <c r="G195" s="411"/>
      <c r="H195" s="411"/>
      <c r="I195" s="411"/>
      <c r="J195" s="411"/>
      <c r="K195" s="412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13" t="s">
        <v>2</v>
      </c>
      <c r="D197" s="41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8" t="s">
        <v>71</v>
      </c>
      <c r="D198" s="269">
        <v>2120</v>
      </c>
      <c r="E198" s="289"/>
      <c r="F198" s="238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1" t="s">
        <v>44</v>
      </c>
      <c r="D199" s="272">
        <v>12216</v>
      </c>
      <c r="E199" s="289"/>
      <c r="F199" s="238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3" t="s">
        <v>28</v>
      </c>
      <c r="D200" s="272">
        <v>382</v>
      </c>
      <c r="E200" s="289"/>
      <c r="F200" s="238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4" t="s">
        <v>31</v>
      </c>
      <c r="D201" s="275">
        <f>SUM(D198:D200)</f>
        <v>14718</v>
      </c>
      <c r="E201" s="289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0" t="s">
        <v>95</v>
      </c>
      <c r="D202" s="282"/>
      <c r="E202" s="282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6" t="s">
        <v>124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15" t="s">
        <v>8</v>
      </c>
      <c r="C205" s="416"/>
      <c r="D205" s="416"/>
      <c r="E205" s="416"/>
      <c r="F205" s="416"/>
      <c r="G205" s="416"/>
      <c r="H205" s="416"/>
      <c r="I205" s="416"/>
      <c r="J205" s="416"/>
      <c r="K205" s="417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24</v>
      </c>
      <c r="F207" s="69" t="str">
        <f>G19</f>
        <v>LANDET KVANTUM T.O.M UKE 24</v>
      </c>
      <c r="G207" s="69" t="str">
        <f>I19</f>
        <v>RESTKVOTER</v>
      </c>
      <c r="H207" s="92" t="str">
        <f>J19</f>
        <v>LANDET KVANTUM T.O.M. UKE 24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9.4915400000000005</v>
      </c>
      <c r="F208" s="183">
        <v>164.28494000000001</v>
      </c>
      <c r="G208" s="183">
        <f>D208-F208</f>
        <v>535.71505999999999</v>
      </c>
      <c r="H208" s="219">
        <v>412.10386999999997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19.89479</v>
      </c>
      <c r="F209" s="183">
        <v>716.49168999999995</v>
      </c>
      <c r="G209" s="183">
        <f t="shared" ref="G209:G211" si="13">D209-F209</f>
        <v>653.50831000000005</v>
      </c>
      <c r="H209" s="219">
        <v>1352.28655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1.2104200000000001</v>
      </c>
      <c r="G210" s="183">
        <f t="shared" si="13"/>
        <v>48.789580000000001</v>
      </c>
      <c r="H210" s="220">
        <v>2.1101399999999999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>
        <v>1E-3</v>
      </c>
      <c r="F211" s="184">
        <v>1.45468</v>
      </c>
      <c r="G211" s="183">
        <f t="shared" si="13"/>
        <v>-1.45468</v>
      </c>
      <c r="H211" s="220">
        <v>2.9601299999999999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29.387330000000002</v>
      </c>
      <c r="F212" s="185">
        <f>SUM(F208:F211)</f>
        <v>883.44173000000001</v>
      </c>
      <c r="G212" s="185">
        <f>D212-F212</f>
        <v>1236.55827</v>
      </c>
      <c r="H212" s="206">
        <f>H208+H209+H210+H211</f>
        <v>1769.4606899999999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10" t="s">
        <v>1</v>
      </c>
      <c r="C223" s="411"/>
      <c r="D223" s="411"/>
      <c r="E223" s="411"/>
      <c r="F223" s="411"/>
      <c r="G223" s="411"/>
      <c r="H223" s="411"/>
      <c r="I223" s="411"/>
      <c r="J223" s="411"/>
      <c r="K223" s="412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13" t="s">
        <v>2</v>
      </c>
      <c r="D225" s="41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8" t="s">
        <v>71</v>
      </c>
      <c r="D226" s="269">
        <v>5148</v>
      </c>
      <c r="E226" s="289"/>
      <c r="F226" s="238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1" t="s">
        <v>44</v>
      </c>
      <c r="D227" s="272">
        <v>3465</v>
      </c>
      <c r="E227" s="289"/>
      <c r="F227" s="238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1" t="s">
        <v>28</v>
      </c>
      <c r="D228" s="272">
        <v>123</v>
      </c>
      <c r="E228" s="289"/>
      <c r="F228" s="238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4" t="s">
        <v>31</v>
      </c>
      <c r="D229" s="275">
        <f>SUM(D226:D228)</f>
        <v>8736</v>
      </c>
      <c r="E229" s="289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thickBot="1" x14ac:dyDescent="0.35">
      <c r="B230" s="82"/>
      <c r="C230" s="290" t="s">
        <v>107</v>
      </c>
      <c r="D230" s="282"/>
      <c r="E230" s="282"/>
      <c r="F230" s="83"/>
      <c r="G230" s="84"/>
      <c r="H230" s="80"/>
      <c r="I230" s="80"/>
      <c r="J230" s="80"/>
      <c r="K230" s="120"/>
      <c r="L230" s="118"/>
      <c r="M230" s="118"/>
    </row>
    <row r="231" spans="2:13" ht="6" customHeight="1" thickBot="1" x14ac:dyDescent="0.35">
      <c r="B231" s="82"/>
      <c r="C231" s="393"/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15" t="s">
        <v>8</v>
      </c>
      <c r="C232" s="416"/>
      <c r="D232" s="416"/>
      <c r="E232" s="416"/>
      <c r="F232" s="416"/>
      <c r="G232" s="416"/>
      <c r="H232" s="416"/>
      <c r="I232" s="416"/>
      <c r="J232" s="416"/>
      <c r="K232" s="417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382" t="s">
        <v>87</v>
      </c>
      <c r="D234" s="383" t="s">
        <v>88</v>
      </c>
      <c r="E234" s="384" t="str">
        <f>E207</f>
        <v>LANDET KVANTUM UKE 24</v>
      </c>
      <c r="F234" s="384" t="str">
        <f>F207</f>
        <v>LANDET KVANTUM T.O.M UKE 24</v>
      </c>
      <c r="G234" s="384" t="s">
        <v>62</v>
      </c>
      <c r="H234" s="385" t="str">
        <f>H207</f>
        <v>LANDET KVANTUM T.O.M. UKE 24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07">
        <v>1900</v>
      </c>
      <c r="E235" s="386">
        <f>SUM(E236:E237)</f>
        <v>0</v>
      </c>
      <c r="F235" s="386">
        <f>SUM(F236:F237)</f>
        <v>1914.28793</v>
      </c>
      <c r="G235" s="407">
        <f>D235-F235</f>
        <v>-14.28792999999996</v>
      </c>
      <c r="H235" s="386">
        <f>SUM(H236:H237)</f>
        <v>1595.15535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387" t="s">
        <v>78</v>
      </c>
      <c r="D236" s="408"/>
      <c r="E236" s="388"/>
      <c r="F236" s="388">
        <v>1555.61869</v>
      </c>
      <c r="G236" s="408"/>
      <c r="H236" s="388">
        <v>1221.97955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387" t="s">
        <v>79</v>
      </c>
      <c r="D237" s="409"/>
      <c r="E237" s="389"/>
      <c r="F237" s="389">
        <v>358.66924</v>
      </c>
      <c r="G237" s="409"/>
      <c r="H237" s="389">
        <v>373.17579999999998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07">
        <v>1624</v>
      </c>
      <c r="E238" s="386">
        <f>SUM(E239:E240)</f>
        <v>82.247749999999996</v>
      </c>
      <c r="F238" s="386">
        <f>SUM(F239:F240)</f>
        <v>506.69434999999999</v>
      </c>
      <c r="G238" s="407">
        <f>D238-F238</f>
        <v>1117.30565</v>
      </c>
      <c r="H238" s="386">
        <f>SUM(H239:H240)</f>
        <v>335.39510000000001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387" t="s">
        <v>78</v>
      </c>
      <c r="D239" s="408"/>
      <c r="E239" s="388">
        <v>64.184899999999999</v>
      </c>
      <c r="F239" s="388">
        <v>388.63279999999997</v>
      </c>
      <c r="G239" s="408"/>
      <c r="H239" s="388">
        <v>234.5985</v>
      </c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387" t="s">
        <v>79</v>
      </c>
      <c r="D240" s="409"/>
      <c r="E240" s="389">
        <v>18.062850000000001</v>
      </c>
      <c r="F240" s="389">
        <v>118.06155</v>
      </c>
      <c r="G240" s="409"/>
      <c r="H240" s="389">
        <v>100.7966</v>
      </c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07">
        <v>1624</v>
      </c>
      <c r="E241" s="386">
        <f>SUM(E242:E243)</f>
        <v>0</v>
      </c>
      <c r="F241" s="386">
        <f>SUM(F242:F243)</f>
        <v>0</v>
      </c>
      <c r="G241" s="407">
        <f>D241-F241</f>
        <v>1624</v>
      </c>
      <c r="H241" s="386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387" t="s">
        <v>78</v>
      </c>
      <c r="D242" s="408"/>
      <c r="E242" s="388"/>
      <c r="F242" s="388"/>
      <c r="G242" s="408"/>
      <c r="H242" s="388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387" t="s">
        <v>79</v>
      </c>
      <c r="D243" s="409"/>
      <c r="E243" s="389"/>
      <c r="F243" s="389"/>
      <c r="G243" s="409"/>
      <c r="H243" s="389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390"/>
      <c r="E244" s="220"/>
      <c r="F244" s="220"/>
      <c r="G244" s="391"/>
      <c r="H244" s="220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392">
        <f>SUM(D235:D244)</f>
        <v>5148</v>
      </c>
      <c r="E245" s="185">
        <f>E235+E238+E241+E244</f>
        <v>82.247749999999996</v>
      </c>
      <c r="F245" s="185">
        <f>F235+F238+F241+F244</f>
        <v>2420.9822800000002</v>
      </c>
      <c r="G245" s="392">
        <f>SUM(G235:G244)</f>
        <v>2727.0177199999998</v>
      </c>
      <c r="H245" s="185">
        <f>H235+H238+H241+H244</f>
        <v>1930.55045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24
&amp;"-,Normal"&amp;11(iht. motatte landings- og sluttsedler fra fiskesalgslagene; alle tallstørrelser i hele tonn)&amp;R16.06.2020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UKE_24_2020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Borgny Brørvik</cp:lastModifiedBy>
  <cp:lastPrinted>2020-05-11T08:53:25Z</cp:lastPrinted>
  <dcterms:created xsi:type="dcterms:W3CDTF">2011-07-06T12:13:20Z</dcterms:created>
  <dcterms:modified xsi:type="dcterms:W3CDTF">2020-06-16T07:30:23Z</dcterms:modified>
</cp:coreProperties>
</file>