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8\UKE 52\"/>
    </mc:Choice>
  </mc:AlternateContent>
  <bookViews>
    <workbookView xWindow="0" yWindow="0" windowWidth="23040" windowHeight="10845" tabRatio="413"/>
  </bookViews>
  <sheets>
    <sheet name="UKE_52_2018" sheetId="1" r:id="rId1"/>
  </sheets>
  <definedNames>
    <definedName name="Z_14D440E4_F18A_4F78_9989_38C1B133222D_.wvu.Cols" localSheetId="0" hidden="1">UKE_52_2018!#REF!</definedName>
    <definedName name="Z_14D440E4_F18A_4F78_9989_38C1B133222D_.wvu.PrintArea" localSheetId="0" hidden="1">UKE_52_2018!$B$1:$M$249</definedName>
    <definedName name="Z_14D440E4_F18A_4F78_9989_38C1B133222D_.wvu.Rows" localSheetId="0" hidden="1">UKE_52_2018!$361:$1048576,UKE_52_2018!$250:$360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83" i="1" l="1"/>
  <c r="G182" i="1"/>
  <c r="G123" i="1" l="1"/>
  <c r="G122" i="1"/>
  <c r="F42" i="1" l="1"/>
  <c r="I33" i="1"/>
  <c r="I32" i="1"/>
  <c r="G32" i="1"/>
  <c r="F33" i="1"/>
  <c r="G29" i="1"/>
  <c r="G28" i="1"/>
  <c r="G27" i="1"/>
  <c r="G26" i="1"/>
  <c r="G243" i="1" l="1"/>
  <c r="F243" i="1"/>
  <c r="I245" i="1"/>
  <c r="H245" i="1" l="1"/>
  <c r="F25" i="1" l="1"/>
  <c r="G30" i="1" l="1"/>
  <c r="F63" i="1" l="1"/>
  <c r="F69" i="1" s="1"/>
  <c r="G34" i="1"/>
  <c r="F34" i="1" s="1"/>
  <c r="D69" i="1" l="1"/>
  <c r="G134" i="1" l="1"/>
  <c r="F134" i="1"/>
  <c r="I134" i="1"/>
  <c r="G181" i="1" l="1"/>
  <c r="F181" i="1"/>
  <c r="F242" i="1"/>
  <c r="G127" i="1" l="1"/>
  <c r="G126" i="1" s="1"/>
  <c r="H139" i="1" l="1"/>
  <c r="G25" i="1"/>
  <c r="J32" i="1"/>
  <c r="G24" i="1" l="1"/>
  <c r="F236" i="1"/>
  <c r="F239" i="1"/>
  <c r="F246" i="1" l="1"/>
  <c r="E246" i="1"/>
  <c r="D246" i="1"/>
  <c r="I242" i="1"/>
  <c r="G242" i="1"/>
  <c r="H242" i="1" s="1"/>
  <c r="I239" i="1"/>
  <c r="G239" i="1"/>
  <c r="I236" i="1"/>
  <c r="G236" i="1"/>
  <c r="I246" i="1" l="1"/>
  <c r="H239" i="1"/>
  <c r="G246" i="1"/>
  <c r="H236" i="1"/>
  <c r="H246" i="1" l="1"/>
  <c r="H81" i="1"/>
  <c r="F81" i="1"/>
  <c r="D81" i="1"/>
  <c r="I41" i="1" l="1"/>
  <c r="I40" i="1"/>
  <c r="I39" i="1"/>
  <c r="I38" i="1"/>
  <c r="I37" i="1"/>
  <c r="I36" i="1"/>
  <c r="I35" i="1"/>
  <c r="E32" i="1"/>
  <c r="D32" i="1"/>
  <c r="I31" i="1"/>
  <c r="I29" i="1"/>
  <c r="I28" i="1"/>
  <c r="I27" i="1"/>
  <c r="I26" i="1"/>
  <c r="J25" i="1"/>
  <c r="E25" i="1"/>
  <c r="E24" i="1" s="1"/>
  <c r="D25" i="1"/>
  <c r="I23" i="1"/>
  <c r="I22" i="1"/>
  <c r="J21" i="1"/>
  <c r="G21" i="1"/>
  <c r="G42" i="1" s="1"/>
  <c r="F21" i="1"/>
  <c r="E21" i="1"/>
  <c r="D21" i="1"/>
  <c r="H14" i="1"/>
  <c r="F14" i="1"/>
  <c r="D14" i="1"/>
  <c r="I34" i="1" l="1"/>
  <c r="I30" i="1"/>
  <c r="I25" i="1" s="1"/>
  <c r="J24" i="1"/>
  <c r="D24" i="1"/>
  <c r="D42" i="1" s="1"/>
  <c r="I21" i="1"/>
  <c r="G211" i="1"/>
  <c r="G212" i="1"/>
  <c r="G213" i="1"/>
  <c r="G210" i="1"/>
  <c r="I24" i="1" l="1"/>
  <c r="D128" i="1"/>
  <c r="H115" i="1"/>
  <c r="F115" i="1"/>
  <c r="D115" i="1"/>
  <c r="G62" i="1"/>
  <c r="G60" i="1"/>
  <c r="H191" i="1" l="1"/>
  <c r="H186" i="1"/>
  <c r="H185" i="1"/>
  <c r="H184" i="1"/>
  <c r="H183" i="1"/>
  <c r="H182" i="1"/>
  <c r="H138" i="1"/>
  <c r="H137" i="1"/>
  <c r="H136" i="1"/>
  <c r="H135" i="1"/>
  <c r="H133" i="1"/>
  <c r="H131" i="1"/>
  <c r="H130" i="1"/>
  <c r="H129" i="1"/>
  <c r="H128" i="1"/>
  <c r="H125" i="1"/>
  <c r="H124" i="1"/>
  <c r="H123" i="1"/>
  <c r="H122" i="1"/>
  <c r="H101" i="1"/>
  <c r="H100" i="1"/>
  <c r="H99" i="1"/>
  <c r="H98" i="1"/>
  <c r="H97" i="1"/>
  <c r="H96" i="1"/>
  <c r="H95" i="1"/>
  <c r="H94" i="1"/>
  <c r="H93" i="1"/>
  <c r="H90" i="1"/>
  <c r="H89" i="1"/>
  <c r="E88" i="1" l="1"/>
  <c r="E92" i="1"/>
  <c r="E91" i="1" s="1"/>
  <c r="E121" i="1"/>
  <c r="E127" i="1"/>
  <c r="E132" i="1"/>
  <c r="H132" i="1" s="1"/>
  <c r="E181" i="1"/>
  <c r="E192" i="1" s="1"/>
  <c r="H190" i="1"/>
  <c r="E102" i="1" l="1"/>
  <c r="E42" i="1"/>
  <c r="E126" i="1"/>
  <c r="E140" i="1" s="1"/>
  <c r="H127" i="1" l="1"/>
  <c r="H126" i="1" s="1"/>
  <c r="H121" i="1"/>
  <c r="H140" i="1" l="1"/>
  <c r="I187" i="1"/>
  <c r="F127" i="1" l="1"/>
  <c r="F126" i="1" s="1"/>
  <c r="H63" i="1" l="1"/>
  <c r="I121" i="1" l="1"/>
  <c r="I127" i="1"/>
  <c r="I126" i="1" s="1"/>
  <c r="H42" i="1"/>
  <c r="I140" i="1" l="1"/>
  <c r="I181" i="1"/>
  <c r="H69" i="1"/>
  <c r="H92" i="1" l="1"/>
  <c r="H91" i="1" s="1"/>
  <c r="F187" i="1" l="1"/>
  <c r="F192" i="1" s="1"/>
  <c r="G187" i="1"/>
  <c r="H187" i="1" s="1"/>
  <c r="I192" i="1"/>
  <c r="H134" i="1"/>
  <c r="D214" i="1" l="1"/>
  <c r="F164" i="1" l="1"/>
  <c r="E164" i="1"/>
  <c r="D164" i="1"/>
  <c r="G163" i="1"/>
  <c r="G162" i="1"/>
  <c r="G161" i="1"/>
  <c r="D132" i="1"/>
  <c r="D127" i="1"/>
  <c r="G121" i="1"/>
  <c r="G140" i="1" s="1"/>
  <c r="F121" i="1"/>
  <c r="F140" i="1" s="1"/>
  <c r="D121" i="1"/>
  <c r="G67" i="1"/>
  <c r="E63" i="1"/>
  <c r="E69" i="1" s="1"/>
  <c r="D56" i="1"/>
  <c r="D126" i="1" l="1"/>
  <c r="D140" i="1" s="1"/>
  <c r="G164" i="1"/>
  <c r="G63" i="1"/>
  <c r="G69" i="1" s="1"/>
  <c r="I92" i="1" l="1"/>
  <c r="I91" i="1" s="1"/>
  <c r="G92" i="1"/>
  <c r="G91" i="1" s="1"/>
  <c r="F92" i="1"/>
  <c r="F91" i="1" s="1"/>
  <c r="D92" i="1"/>
  <c r="D91" i="1" s="1"/>
  <c r="H88" i="1"/>
  <c r="I88" i="1"/>
  <c r="G88" i="1"/>
  <c r="F88" i="1"/>
  <c r="D88" i="1"/>
  <c r="F87" i="1"/>
  <c r="G87" i="1"/>
  <c r="H87" i="1"/>
  <c r="I87" i="1"/>
  <c r="D102" i="1" l="1"/>
  <c r="I102" i="1"/>
  <c r="H102" i="1"/>
  <c r="G102" i="1"/>
  <c r="F102" i="1"/>
  <c r="J42" i="1"/>
  <c r="I42" i="1"/>
  <c r="F214" i="1" l="1"/>
  <c r="E214" i="1" l="1"/>
  <c r="G192" i="1" l="1"/>
  <c r="D181" i="1"/>
  <c r="D155" i="1" l="1"/>
  <c r="H214" i="1" l="1"/>
  <c r="H164" i="1" l="1"/>
  <c r="G214" i="1" l="1"/>
  <c r="H209" i="1"/>
  <c r="I235" i="1" s="1"/>
  <c r="G209" i="1"/>
  <c r="F209" i="1"/>
  <c r="G235" i="1" s="1"/>
  <c r="E209" i="1"/>
  <c r="F235" i="1" s="1"/>
  <c r="D203" i="1"/>
  <c r="D192" i="1"/>
  <c r="I180" i="1"/>
  <c r="H180" i="1"/>
  <c r="G180" i="1"/>
  <c r="F180" i="1"/>
  <c r="H174" i="1"/>
  <c r="F174" i="1"/>
  <c r="D174" i="1"/>
  <c r="H160" i="1"/>
  <c r="G160" i="1"/>
  <c r="F160" i="1"/>
  <c r="E160" i="1"/>
  <c r="I120" i="1"/>
  <c r="H120" i="1"/>
  <c r="G120" i="1"/>
  <c r="F120" i="1"/>
  <c r="H59" i="1"/>
  <c r="G59" i="1"/>
  <c r="F59" i="1"/>
  <c r="E59" i="1"/>
  <c r="H181" i="1" l="1"/>
  <c r="H192" i="1" s="1"/>
  <c r="F32" i="1"/>
  <c r="F24" i="1" s="1"/>
</calcChain>
</file>

<file path=xl/sharedStrings.xml><?xml version="1.0" encoding="utf-8"?>
<sst xmlns="http://schemas.openxmlformats.org/spreadsheetml/2006/main" count="257" uniqueCount="130">
  <si>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</si>
  <si>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</si>
  <si>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</si>
  <si>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</si>
  <si>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</si>
  <si>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</si>
  <si>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</si>
  <si>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</si>
  <si>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</si>
  <si>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</si>
  <si>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</si>
  <si>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</si>
  <si>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</si>
  <si>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</si>
  <si>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</si>
  <si>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</si>
  <si>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</si>
  <si>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</si>
  <si>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</si>
  <si>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</si>
  <si>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</si>
  <si>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</si>
  <si>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</si>
  <si>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</si>
  <si>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</si>
  <si>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</si>
  <si>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</si>
  <si>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</si>
  <si>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</si>
  <si>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</si>
  <si>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</si>
  <si>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</si>
  <si>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</si>
  <si>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</si>
  <si>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</si>
  <si>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</si>
  <si>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</si>
  <si>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</si>
  <si>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</si>
  <si>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</si>
  <si>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</si>
  <si>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</si>
  <si>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</si>
  <si>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</si>
  <si>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</si>
  <si>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</si>
  <si>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</si>
  <si>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</si>
  <si>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</si>
  <si>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</si>
  <si>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</si>
  <si>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</si>
  <si>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</si>
  <si>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</si>
  <si>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</si>
  <si>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</si>
  <si>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</si>
  <si>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</si>
  <si>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</si>
  <si>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</si>
  <si>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</si>
  <si>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</si>
  <si>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</si>
  <si>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</si>
  <si>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</si>
  <si>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</si>
  <si>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</si>
  <si>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</si>
  <si>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</si>
  <si>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</si>
  <si>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</si>
  <si>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</si>
  <si>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</si>
  <si>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</si>
  <si>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</si>
  <si>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</si>
  <si>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</si>
  <si>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</si>
  <si>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</si>
  <si>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</si>
  <si>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</si>
  <si>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</si>
  <si>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</si>
  <si>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</si>
  <si>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</si>
  <si>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</si>
  <si>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</si>
  <si>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</si>
  <si>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</si>
  <si>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</si>
  <si>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</si>
  <si>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</si>
  <si>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</si>
  <si>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</si>
  <si>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</si>
  <si>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t>GRUPPEKVOTER FOR TRÅL</t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</si>
  <si>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</si>
  <si>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</si>
  <si>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</si>
  <si>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</si>
  <si>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</si>
  <si>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</si>
  <si>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</si>
  <si>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</si>
  <si>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</si>
  <si>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</si>
  <si>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</si>
  <si>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</si>
  <si>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</si>
  <si>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</si>
  <si>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</si>
  <si>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</si>
  <si>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</si>
  <si>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</si>
  <si>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</si>
  <si>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r>
      <t>Konvensjonelle fartøy under 28 m</t>
    </r>
    <r>
      <rPr>
        <b/>
        <vertAlign val="superscript"/>
        <sz val="11"/>
        <color theme="1"/>
        <rFont val="Calibri"/>
        <family val="2"/>
      </rPr>
      <t>1</t>
    </r>
  </si>
  <si>
    <r>
      <t xml:space="preserve">1 </t>
    </r>
    <r>
      <rPr>
        <sz val="9"/>
        <color theme="1"/>
        <rFont val="Calibri"/>
        <family val="2"/>
      </rPr>
      <t>Periodekvotene utgjør 7750 tonn og avsetning til bifangst 269 tonn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</si>
  <si>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</t>
    </r>
  </si>
  <si>
    <r>
      <t>Innblanding av torsk i loddefisket</t>
    </r>
    <r>
      <rPr>
        <b/>
        <vertAlign val="superscript"/>
        <sz val="11"/>
        <color theme="1"/>
        <rFont val="Calibri"/>
        <family val="2"/>
      </rPr>
      <t>4</t>
    </r>
  </si>
  <si>
    <r>
      <t xml:space="preserve">4 </t>
    </r>
    <r>
      <rPr>
        <sz val="9"/>
        <color theme="1"/>
        <rFont val="Calibri"/>
        <family val="2"/>
      </rPr>
      <t>110 tonn er ført på landings-/sluttsedler fra fartøy som fisker med snurpenot/ringnot/flytetrål, og i tillegg er det beregnet 60 tonn som estimert bifangst</t>
    </r>
  </si>
  <si>
    <r>
      <t xml:space="preserve">2 </t>
    </r>
    <r>
      <rPr>
        <sz val="9"/>
        <color theme="1"/>
        <rFont val="Calibri"/>
        <family val="2"/>
      </rPr>
      <t>Registrert rekreasjonsfiske utgjør 67 tonn, men det legges til grunn at hele avsetningen tas</t>
    </r>
  </si>
  <si>
    <r>
      <t xml:space="preserve">3 </t>
    </r>
    <r>
      <rPr>
        <sz val="9"/>
        <color theme="1"/>
        <rFont val="Calibri"/>
        <family val="2"/>
      </rPr>
      <t>Registrert rekreasjonsfiske utgjør 1 591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</si>
  <si>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436 tonn, men det legges til grunn at hele avsetningen tas</t>
    </r>
  </si>
  <si>
    <t>LANDET KVANTUM UKE 52</t>
  </si>
  <si>
    <t>LANDET KVANTUM T.O.M UKE 52</t>
  </si>
  <si>
    <t>LANDET KVANTUM T.O.M. UKE 52 2017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</si>
  <si>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fisket 2 709 tonn som er overført fra torsketrål til seitrål</t>
    </r>
  </si>
  <si>
    <r>
      <t>Not</t>
    </r>
    <r>
      <rPr>
        <b/>
        <vertAlign val="superscript"/>
        <sz val="11"/>
        <color theme="1"/>
        <rFont val="Calibri"/>
        <family val="2"/>
      </rPr>
      <t>4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</si>
  <si>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2,4</t>
    </r>
    <r>
      <rPr>
        <b/>
        <i/>
        <sz val="11"/>
        <color theme="1"/>
        <rFont val="Calibri"/>
        <family val="2"/>
      </rPr>
      <t>: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</si>
  <si>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Det er fisket 4 557 tonn med konvensjonelle redskap som er belastet seinotkvoten.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</si>
</sst>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_ ;_ * \-#,##0_ ;_ * &quot;-&quot;??_ ;_ @_ "/>
    <numFmt numFmtId="166" formatCode="dd\.mm\.yyyy"/>
  </numFmts>
  <fonts count="6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166" fontId="66" fillId="0" borderId="0"/>
    <xf numFmtId="49" fontId="66" fillId="0" borderId="0"/>
    <xf numFmtId="49" fontId="66" fillId="0" borderId="0"/>
  </cellStyleXfs>
  <cellXfs count="46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7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5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6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2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7" xfId="0" applyNumberFormat="1" applyFont="1" applyFill="1" applyBorder="1" applyAlignment="1">
      <alignment vertical="center" wrapText="1"/>
    </xf>
    <xf numFmtId="3" fontId="60" fillId="0" borderId="65" xfId="0" applyNumberFormat="1" applyFont="1" applyFill="1" applyBorder="1" applyAlignment="1">
      <alignment vertical="center" wrapText="1"/>
    </xf>
    <xf numFmtId="3" fontId="61" fillId="0" borderId="65" xfId="0" applyNumberFormat="1" applyFont="1" applyFill="1" applyBorder="1" applyAlignment="1">
      <alignment vertical="center" wrapText="1"/>
    </xf>
    <xf numFmtId="3" fontId="62" fillId="0" borderId="65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4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5" xfId="0" applyNumberFormat="1" applyFont="1" applyFill="1" applyBorder="1" applyAlignment="1">
      <alignment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60" fillId="0" borderId="77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2" fillId="0" borderId="77" xfId="0" applyNumberFormat="1" applyFont="1" applyFill="1" applyBorder="1" applyAlignment="1">
      <alignment vertical="center" wrapText="1"/>
    </xf>
    <xf numFmtId="3" fontId="62" fillId="0" borderId="78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2" fillId="0" borderId="82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3" xfId="0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4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0" fillId="0" borderId="88" xfId="0" applyNumberFormat="1" applyFont="1" applyFill="1" applyBorder="1" applyAlignment="1">
      <alignment vertical="center"/>
    </xf>
    <xf numFmtId="3" fontId="0" fillId="0" borderId="89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86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7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6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8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64" fillId="0" borderId="78" xfId="0" applyNumberFormat="1" applyFont="1" applyFill="1" applyBorder="1" applyAlignment="1">
      <alignment vertical="center" wrapText="1"/>
    </xf>
    <xf numFmtId="3" fontId="43" fillId="0" borderId="91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5" fillId="0" borderId="93" xfId="0" applyNumberFormat="1" applyFont="1" applyFill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11" fillId="0" borderId="94" xfId="0" applyNumberFormat="1" applyFont="1" applyFill="1" applyBorder="1" applyAlignment="1">
      <alignment vertical="center" wrapText="1"/>
    </xf>
    <xf numFmtId="3" fontId="11" fillId="0" borderId="96" xfId="0" applyNumberFormat="1" applyFont="1" applyFill="1" applyBorder="1" applyAlignment="1">
      <alignment vertical="center" wrapText="1"/>
    </xf>
    <xf numFmtId="3" fontId="23" fillId="0" borderId="98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99" xfId="0" applyNumberFormat="1" applyFont="1" applyFill="1" applyBorder="1" applyAlignment="1">
      <alignment vertical="center" wrapText="1"/>
    </xf>
    <xf numFmtId="3" fontId="23" fillId="0" borderId="97" xfId="0" applyNumberFormat="1" applyFont="1" applyFill="1" applyBorder="1" applyAlignment="1">
      <alignment vertical="center" wrapText="1"/>
    </xf>
    <xf numFmtId="3" fontId="23" fillId="0" borderId="63" xfId="0" applyNumberFormat="1" applyFont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53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3" xfId="1" applyNumberFormat="1" applyFont="1" applyFill="1" applyBorder="1" applyAlignment="1">
      <alignment horizontal="right" vertical="center"/>
    </xf>
    <xf numFmtId="3" fontId="22" fillId="0" borderId="90" xfId="1" applyNumberFormat="1" applyFont="1" applyFill="1" applyBorder="1" applyAlignment="1">
      <alignment horizontal="righ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87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3"/>
    <cellStyle name="aqt2" xfId="84"/>
    <cellStyle name="aqt3" xfId="85"/>
    <cellStyle name="aqt4" xfId="81"/>
    <cellStyle name="aqt5" xfId="8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60"/>
  <sheetViews>
    <sheetView showGridLines="0" showZeros="0" tabSelected="1" showRuler="0" showWhiteSpace="0" view="pageLayout" zoomScale="90" zoomScaleNormal="115" zoomScalePageLayoutView="90" workbookViewId="0">
      <selection activeCell="J11" sqref="J11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8.7109375" style="5" customWidth="1"/>
    <col min="8" max="8" width="18.28515625" style="5" customWidth="1"/>
    <col min="9" max="9" width="17.85546875" style="71" customWidth="1"/>
    <col min="10" max="10" width="18.2851562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47" t="s">
        <v>112</v>
      </c>
      <c r="C2" s="448"/>
      <c r="D2" s="448"/>
      <c r="E2" s="448"/>
      <c r="F2" s="448"/>
      <c r="G2" s="448"/>
      <c r="H2" s="448"/>
      <c r="I2" s="448"/>
      <c r="J2" s="448"/>
      <c r="K2" s="449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50"/>
      <c r="C7" s="451"/>
      <c r="D7" s="451"/>
      <c r="E7" s="451"/>
      <c r="F7" s="451"/>
      <c r="G7" s="451"/>
      <c r="H7" s="451"/>
      <c r="I7" s="451"/>
      <c r="J7" s="451"/>
      <c r="K7" s="452"/>
      <c r="L7" s="205"/>
      <c r="M7" s="205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53" t="s">
        <v>2</v>
      </c>
      <c r="D9" s="454"/>
      <c r="E9" s="453" t="s">
        <v>20</v>
      </c>
      <c r="F9" s="454"/>
      <c r="G9" s="453" t="s">
        <v>21</v>
      </c>
      <c r="H9" s="454"/>
      <c r="I9" s="157"/>
      <c r="J9" s="157"/>
      <c r="K9" s="116"/>
      <c r="L9" s="137"/>
      <c r="M9" s="137"/>
    </row>
    <row r="10" spans="2:13" ht="14.1" customHeight="1" x14ac:dyDescent="0.25">
      <c r="B10" s="120"/>
      <c r="C10" s="165"/>
      <c r="D10" s="165"/>
      <c r="E10" s="165" t="s">
        <v>5</v>
      </c>
      <c r="F10" s="240">
        <v>109874</v>
      </c>
      <c r="G10" s="166" t="s">
        <v>25</v>
      </c>
      <c r="H10" s="240">
        <v>28576</v>
      </c>
      <c r="I10" s="167"/>
      <c r="J10" s="167"/>
      <c r="K10" s="116"/>
      <c r="L10" s="137"/>
      <c r="M10" s="137"/>
    </row>
    <row r="11" spans="2:13" ht="15.75" customHeight="1" x14ac:dyDescent="0.25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84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25">
      <c r="B12" s="120"/>
      <c r="C12" s="166" t="s">
        <v>3</v>
      </c>
      <c r="D12" s="170">
        <v>338159</v>
      </c>
      <c r="E12" s="166" t="s">
        <v>96</v>
      </c>
      <c r="F12" s="170">
        <v>23465</v>
      </c>
      <c r="G12" s="166" t="s">
        <v>86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">
      <c r="B13" s="120"/>
      <c r="C13" s="166" t="s">
        <v>97</v>
      </c>
      <c r="D13" s="170">
        <v>107682</v>
      </c>
      <c r="E13" s="235"/>
      <c r="F13" s="236"/>
      <c r="G13" s="168" t="s">
        <v>15</v>
      </c>
      <c r="H13" s="241">
        <v>19300</v>
      </c>
      <c r="I13" s="167"/>
      <c r="J13" s="167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25">
      <c r="B15" s="123"/>
      <c r="C15" s="387" t="s">
        <v>98</v>
      </c>
      <c r="D15" s="311"/>
      <c r="E15" s="311"/>
      <c r="F15" s="311"/>
      <c r="G15" s="311"/>
      <c r="H15" s="169"/>
      <c r="I15" s="169"/>
      <c r="J15" s="169"/>
      <c r="K15" s="125"/>
      <c r="L15" s="124"/>
      <c r="M15" s="124"/>
    </row>
    <row r="16" spans="2:13" s="16" customFormat="1" ht="12" customHeight="1" x14ac:dyDescent="0.25">
      <c r="B16" s="123"/>
      <c r="C16" s="311" t="s">
        <v>99</v>
      </c>
      <c r="D16" s="204"/>
      <c r="E16" s="204"/>
      <c r="F16" s="204"/>
      <c r="G16" s="204"/>
      <c r="H16" s="204"/>
      <c r="I16" s="204"/>
      <c r="J16" s="198"/>
      <c r="K16" s="125"/>
      <c r="L16" s="124"/>
      <c r="M16" s="124"/>
    </row>
    <row r="17" spans="1:13" ht="15" customHeight="1" thickBot="1" x14ac:dyDescent="0.3">
      <c r="B17" s="126"/>
      <c r="C17" s="169" t="s">
        <v>87</v>
      </c>
      <c r="D17" s="234"/>
      <c r="E17" s="234"/>
      <c r="F17" s="234"/>
      <c r="G17" s="234"/>
      <c r="H17" s="234"/>
      <c r="I17" s="234"/>
      <c r="J17" s="199"/>
      <c r="K17" s="128"/>
      <c r="L17" s="119"/>
      <c r="M17" s="119"/>
    </row>
    <row r="18" spans="1:13" ht="21.75" customHeight="1" x14ac:dyDescent="0.25">
      <c r="B18" s="455" t="s">
        <v>8</v>
      </c>
      <c r="C18" s="456"/>
      <c r="D18" s="456"/>
      <c r="E18" s="456"/>
      <c r="F18" s="456"/>
      <c r="G18" s="456"/>
      <c r="H18" s="456"/>
      <c r="I18" s="456"/>
      <c r="J18" s="456"/>
      <c r="K18" s="457"/>
      <c r="L18" s="205"/>
      <c r="M18" s="205"/>
    </row>
    <row r="19" spans="1:13" ht="12" customHeight="1" thickBot="1" x14ac:dyDescent="0.3">
      <c r="B19" s="120"/>
      <c r="C19" s="23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79" t="s">
        <v>19</v>
      </c>
      <c r="D20" s="325" t="s">
        <v>76</v>
      </c>
      <c r="E20" s="325" t="s">
        <v>73</v>
      </c>
      <c r="F20" s="325" t="s">
        <v>123</v>
      </c>
      <c r="G20" s="325" t="s">
        <v>124</v>
      </c>
      <c r="H20" s="326" t="s">
        <v>74</v>
      </c>
      <c r="I20" s="326" t="s">
        <v>63</v>
      </c>
      <c r="J20" s="327" t="s">
        <v>125</v>
      </c>
      <c r="K20" s="117"/>
      <c r="L20" s="4"/>
      <c r="M20" s="4"/>
    </row>
    <row r="21" spans="1:13" ht="14.1" customHeight="1" x14ac:dyDescent="0.25">
      <c r="B21" s="120"/>
      <c r="C21" s="257" t="s">
        <v>16</v>
      </c>
      <c r="D21" s="312">
        <f>D23+D22</f>
        <v>109874</v>
      </c>
      <c r="E21" s="328">
        <f>E22+E23</f>
        <v>111102</v>
      </c>
      <c r="F21" s="328">
        <f>F23+F22</f>
        <v>5424.9154199999994</v>
      </c>
      <c r="G21" s="328">
        <f>G22+G23</f>
        <v>110389.06452999999</v>
      </c>
      <c r="H21" s="328"/>
      <c r="I21" s="328">
        <f>I23+I22</f>
        <v>712.93547000000569</v>
      </c>
      <c r="J21" s="329">
        <f>J23+J22</f>
        <v>129012.1054</v>
      </c>
      <c r="K21" s="129"/>
      <c r="L21" s="157"/>
      <c r="M21" s="157"/>
    </row>
    <row r="22" spans="1:13" ht="14.1" customHeight="1" x14ac:dyDescent="0.25">
      <c r="B22" s="120"/>
      <c r="C22" s="258" t="s">
        <v>12</v>
      </c>
      <c r="D22" s="313">
        <v>109124</v>
      </c>
      <c r="E22" s="330">
        <v>110352</v>
      </c>
      <c r="F22" s="330">
        <v>5421.9844199999998</v>
      </c>
      <c r="G22" s="330">
        <v>109699.38731999999</v>
      </c>
      <c r="H22" s="330"/>
      <c r="I22" s="330">
        <f>E22-G22</f>
        <v>652.61268000000564</v>
      </c>
      <c r="J22" s="331">
        <v>128297.89200000001</v>
      </c>
      <c r="K22" s="129"/>
      <c r="L22" s="157"/>
      <c r="M22" s="157"/>
    </row>
    <row r="23" spans="1:13" ht="14.1" customHeight="1" thickBot="1" x14ac:dyDescent="0.3">
      <c r="B23" s="120"/>
      <c r="C23" s="259" t="s">
        <v>11</v>
      </c>
      <c r="D23" s="324">
        <v>750</v>
      </c>
      <c r="E23" s="332">
        <v>750</v>
      </c>
      <c r="F23" s="332">
        <v>2.931</v>
      </c>
      <c r="G23" s="332">
        <v>689.67720999999995</v>
      </c>
      <c r="H23" s="332"/>
      <c r="I23" s="330">
        <f>E23-G23</f>
        <v>60.322790000000055</v>
      </c>
      <c r="J23" s="331">
        <v>714.21339999999998</v>
      </c>
      <c r="K23" s="129"/>
      <c r="L23" s="157"/>
      <c r="M23" s="157"/>
    </row>
    <row r="24" spans="1:13" ht="14.1" customHeight="1" x14ac:dyDescent="0.25">
      <c r="B24" s="120"/>
      <c r="C24" s="257" t="s">
        <v>17</v>
      </c>
      <c r="D24" s="312">
        <f>D32+D31+D25</f>
        <v>228341</v>
      </c>
      <c r="E24" s="328">
        <f>E25+E31+E32</f>
        <v>226901</v>
      </c>
      <c r="F24" s="328">
        <f>F32+F31+F25</f>
        <v>1666.27243</v>
      </c>
      <c r="G24" s="328">
        <f>G25+G31+G32</f>
        <v>242901</v>
      </c>
      <c r="H24" s="328"/>
      <c r="I24" s="328">
        <f>I25+I31+I32</f>
        <v>-16000</v>
      </c>
      <c r="J24" s="329">
        <f>J25+J31+J32</f>
        <v>273890.70234999998</v>
      </c>
      <c r="K24" s="129"/>
      <c r="L24" s="157"/>
      <c r="M24" s="157"/>
    </row>
    <row r="25" spans="1:13" ht="15" customHeight="1" x14ac:dyDescent="0.25">
      <c r="A25" s="21"/>
      <c r="B25" s="130"/>
      <c r="C25" s="264" t="s">
        <v>88</v>
      </c>
      <c r="D25" s="314">
        <f>D26+D27+D28+D29+D30</f>
        <v>178564</v>
      </c>
      <c r="E25" s="334">
        <f>E26+E27+E28+E29+E30</f>
        <v>180936</v>
      </c>
      <c r="F25" s="334">
        <f>F26+F27+F28+F29</f>
        <v>88.655709999999999</v>
      </c>
      <c r="G25" s="334">
        <f>G26+G27+G28+G29</f>
        <v>185899</v>
      </c>
      <c r="H25" s="334"/>
      <c r="I25" s="334">
        <f>I26+I27+I28+I29+I30</f>
        <v>-4963</v>
      </c>
      <c r="J25" s="335">
        <f>J26+J27+J28+J29+J30</f>
        <v>210033.34104999999</v>
      </c>
      <c r="K25" s="129"/>
      <c r="L25" s="157"/>
      <c r="M25" s="157"/>
    </row>
    <row r="26" spans="1:13" ht="14.1" customHeight="1" x14ac:dyDescent="0.25">
      <c r="A26" s="22"/>
      <c r="B26" s="131"/>
      <c r="C26" s="263" t="s">
        <v>22</v>
      </c>
      <c r="D26" s="315">
        <v>45392</v>
      </c>
      <c r="E26" s="336">
        <v>49812</v>
      </c>
      <c r="F26" s="336">
        <v>28.56025</v>
      </c>
      <c r="G26" s="336">
        <f>50760+H26</f>
        <v>54772</v>
      </c>
      <c r="H26" s="336">
        <v>4012</v>
      </c>
      <c r="I26" s="336">
        <f>E26-G26+H26</f>
        <v>-948</v>
      </c>
      <c r="J26" s="337">
        <v>53200.503499999999</v>
      </c>
      <c r="K26" s="129"/>
      <c r="L26" s="157"/>
      <c r="M26" s="157"/>
    </row>
    <row r="27" spans="1:13" ht="14.1" customHeight="1" x14ac:dyDescent="0.25">
      <c r="A27" s="22"/>
      <c r="B27" s="131"/>
      <c r="C27" s="263" t="s">
        <v>59</v>
      </c>
      <c r="D27" s="315">
        <v>44493</v>
      </c>
      <c r="E27" s="336">
        <v>44957</v>
      </c>
      <c r="F27" s="336">
        <v>58.656460000000003</v>
      </c>
      <c r="G27" s="336">
        <f>47140+H27</f>
        <v>53826</v>
      </c>
      <c r="H27" s="336">
        <v>6686</v>
      </c>
      <c r="I27" s="336">
        <f>E27-G27+H27</f>
        <v>-2183</v>
      </c>
      <c r="J27" s="337">
        <v>58016.379699999998</v>
      </c>
      <c r="K27" s="129"/>
      <c r="L27" s="157"/>
      <c r="M27" s="157"/>
    </row>
    <row r="28" spans="1:13" ht="14.1" customHeight="1" x14ac:dyDescent="0.25">
      <c r="A28" s="22"/>
      <c r="B28" s="131"/>
      <c r="C28" s="263" t="s">
        <v>60</v>
      </c>
      <c r="D28" s="315">
        <v>42834</v>
      </c>
      <c r="E28" s="336">
        <v>41899</v>
      </c>
      <c r="F28" s="336">
        <v>1.4390000000000001</v>
      </c>
      <c r="G28" s="336">
        <f>41141+H28</f>
        <v>46165</v>
      </c>
      <c r="H28" s="336">
        <v>5024</v>
      </c>
      <c r="I28" s="336">
        <f>E28-G28+H28</f>
        <v>758</v>
      </c>
      <c r="J28" s="337">
        <v>61146.946349999998</v>
      </c>
      <c r="K28" s="129"/>
      <c r="L28" s="157"/>
      <c r="M28" s="157"/>
    </row>
    <row r="29" spans="1:13" ht="14.1" customHeight="1" x14ac:dyDescent="0.25">
      <c r="A29" s="22"/>
      <c r="B29" s="131"/>
      <c r="C29" s="263" t="s">
        <v>89</v>
      </c>
      <c r="D29" s="315">
        <v>28645</v>
      </c>
      <c r="E29" s="336">
        <v>27068</v>
      </c>
      <c r="F29" s="336"/>
      <c r="G29" s="336">
        <f>27772+H29</f>
        <v>31136</v>
      </c>
      <c r="H29" s="336">
        <v>3364</v>
      </c>
      <c r="I29" s="336">
        <f>E29-G29+H29</f>
        <v>-704</v>
      </c>
      <c r="J29" s="337">
        <v>37669.511500000001</v>
      </c>
      <c r="K29" s="129"/>
      <c r="L29" s="157"/>
      <c r="M29" s="157"/>
    </row>
    <row r="30" spans="1:13" ht="14.1" customHeight="1" x14ac:dyDescent="0.25">
      <c r="A30" s="22"/>
      <c r="B30" s="131"/>
      <c r="C30" s="263" t="s">
        <v>90</v>
      </c>
      <c r="D30" s="315">
        <v>17200</v>
      </c>
      <c r="E30" s="336">
        <v>17200</v>
      </c>
      <c r="F30" s="336"/>
      <c r="G30" s="336">
        <f>SUM(H26:H29)</f>
        <v>19086</v>
      </c>
      <c r="H30" s="336"/>
      <c r="I30" s="336">
        <f>E30-G30</f>
        <v>-1886</v>
      </c>
      <c r="J30" s="337"/>
      <c r="K30" s="129"/>
      <c r="L30" s="157"/>
      <c r="M30" s="157"/>
    </row>
    <row r="31" spans="1:13" ht="14.1" customHeight="1" x14ac:dyDescent="0.25">
      <c r="A31" s="23"/>
      <c r="B31" s="130"/>
      <c r="C31" s="264" t="s">
        <v>18</v>
      </c>
      <c r="D31" s="314">
        <v>28576</v>
      </c>
      <c r="E31" s="334">
        <v>29667</v>
      </c>
      <c r="F31" s="334">
        <v>1568.97713</v>
      </c>
      <c r="G31" s="334">
        <v>30045</v>
      </c>
      <c r="H31" s="392"/>
      <c r="I31" s="392">
        <f>E31-G31</f>
        <v>-378</v>
      </c>
      <c r="J31" s="408">
        <v>33229.137999999999</v>
      </c>
      <c r="K31" s="129"/>
      <c r="L31" s="157"/>
      <c r="M31" s="157"/>
    </row>
    <row r="32" spans="1:13" ht="14.1" customHeight="1" x14ac:dyDescent="0.25">
      <c r="A32" s="23"/>
      <c r="B32" s="130"/>
      <c r="C32" s="264" t="s">
        <v>91</v>
      </c>
      <c r="D32" s="314">
        <f>D33+D34</f>
        <v>21201</v>
      </c>
      <c r="E32" s="334">
        <f>E34+E33</f>
        <v>16298</v>
      </c>
      <c r="F32" s="334">
        <f>F33</f>
        <v>8.6395900000000001</v>
      </c>
      <c r="G32" s="334">
        <f>G33+G34</f>
        <v>26957</v>
      </c>
      <c r="H32" s="336"/>
      <c r="I32" s="392">
        <f>E32-G32</f>
        <v>-10659</v>
      </c>
      <c r="J32" s="408">
        <f>J33</f>
        <v>30628.223300000001</v>
      </c>
      <c r="K32" s="129"/>
      <c r="L32" s="157"/>
      <c r="M32" s="157"/>
    </row>
    <row r="33" spans="1:13" ht="14.1" customHeight="1" x14ac:dyDescent="0.25">
      <c r="A33" s="22"/>
      <c r="B33" s="131"/>
      <c r="C33" s="263" t="s">
        <v>10</v>
      </c>
      <c r="D33" s="315">
        <v>19101</v>
      </c>
      <c r="E33" s="336">
        <v>14198</v>
      </c>
      <c r="F33" s="336">
        <f>8.63959-F37</f>
        <v>8.6395900000000001</v>
      </c>
      <c r="G33" s="336">
        <v>25784</v>
      </c>
      <c r="H33" s="336">
        <v>1173</v>
      </c>
      <c r="I33" s="336">
        <f>E33-G33</f>
        <v>-11586</v>
      </c>
      <c r="J33" s="337">
        <v>30628.223300000001</v>
      </c>
      <c r="K33" s="129"/>
      <c r="L33" s="157"/>
      <c r="M33" s="157"/>
    </row>
    <row r="34" spans="1:13" ht="14.1" customHeight="1" thickBot="1" x14ac:dyDescent="0.3">
      <c r="A34" s="22"/>
      <c r="B34" s="131"/>
      <c r="C34" s="338" t="s">
        <v>92</v>
      </c>
      <c r="D34" s="316">
        <v>2100</v>
      </c>
      <c r="E34" s="339">
        <v>2100</v>
      </c>
      <c r="F34" s="339">
        <f>G34-1172</f>
        <v>1</v>
      </c>
      <c r="G34" s="339">
        <f>H33</f>
        <v>1173</v>
      </c>
      <c r="H34" s="339"/>
      <c r="I34" s="339">
        <f>E34-G34</f>
        <v>927</v>
      </c>
      <c r="J34" s="340"/>
      <c r="K34" s="129"/>
      <c r="L34" s="157"/>
      <c r="M34" s="157"/>
    </row>
    <row r="35" spans="1:13" ht="15.75" customHeight="1" thickBot="1" x14ac:dyDescent="0.3">
      <c r="B35" s="120"/>
      <c r="C35" s="174" t="s">
        <v>77</v>
      </c>
      <c r="D35" s="385">
        <v>4000</v>
      </c>
      <c r="E35" s="341">
        <v>4000</v>
      </c>
      <c r="F35" s="341"/>
      <c r="G35" s="341">
        <v>4394</v>
      </c>
      <c r="H35" s="341"/>
      <c r="I35" s="368">
        <f t="shared" ref="I35:I41" si="0">E35-G35</f>
        <v>-394</v>
      </c>
      <c r="J35" s="369">
        <v>3295.7561500000002</v>
      </c>
      <c r="K35" s="129"/>
      <c r="L35" s="157"/>
      <c r="M35" s="157"/>
    </row>
    <row r="36" spans="1:13" ht="14.1" customHeight="1" thickBot="1" x14ac:dyDescent="0.3">
      <c r="B36" s="120"/>
      <c r="C36" s="174" t="s">
        <v>13</v>
      </c>
      <c r="D36" s="317">
        <v>703</v>
      </c>
      <c r="E36" s="318">
        <v>703</v>
      </c>
      <c r="F36" s="318">
        <v>19.558060000000001</v>
      </c>
      <c r="G36" s="318">
        <v>915.27164000000005</v>
      </c>
      <c r="H36" s="318"/>
      <c r="I36" s="368">
        <f t="shared" si="0"/>
        <v>-212.27164000000005</v>
      </c>
      <c r="J36" s="409">
        <v>575.47950000000003</v>
      </c>
      <c r="K36" s="129"/>
      <c r="L36" s="157"/>
      <c r="M36" s="157"/>
    </row>
    <row r="37" spans="1:13" ht="17.25" customHeight="1" thickBot="1" x14ac:dyDescent="0.3">
      <c r="B37" s="120"/>
      <c r="C37" s="174" t="s">
        <v>78</v>
      </c>
      <c r="D37" s="317">
        <v>3000</v>
      </c>
      <c r="E37" s="318">
        <v>3000</v>
      </c>
      <c r="F37" s="318">
        <v>0</v>
      </c>
      <c r="G37" s="318">
        <v>6362</v>
      </c>
      <c r="H37" s="367"/>
      <c r="I37" s="368">
        <f t="shared" si="0"/>
        <v>-3362</v>
      </c>
      <c r="J37" s="409"/>
      <c r="K37" s="129"/>
      <c r="L37" s="157"/>
      <c r="M37" s="157"/>
    </row>
    <row r="38" spans="1:13" ht="17.25" customHeight="1" thickBot="1" x14ac:dyDescent="0.3">
      <c r="B38" s="120"/>
      <c r="C38" s="174" t="s">
        <v>66</v>
      </c>
      <c r="D38" s="317">
        <v>7000</v>
      </c>
      <c r="E38" s="318">
        <v>7000</v>
      </c>
      <c r="F38" s="318">
        <v>3.73E-2</v>
      </c>
      <c r="G38" s="318">
        <v>7000</v>
      </c>
      <c r="H38" s="318"/>
      <c r="I38" s="368">
        <f t="shared" si="0"/>
        <v>0</v>
      </c>
      <c r="J38" s="409">
        <v>7000</v>
      </c>
      <c r="K38" s="129"/>
      <c r="L38" s="157"/>
      <c r="M38" s="157"/>
    </row>
    <row r="39" spans="1:13" ht="17.25" customHeight="1" thickBot="1" x14ac:dyDescent="0.3">
      <c r="B39" s="120"/>
      <c r="C39" s="174" t="s">
        <v>81</v>
      </c>
      <c r="D39" s="317">
        <v>3000</v>
      </c>
      <c r="E39" s="318">
        <v>3000</v>
      </c>
      <c r="F39" s="318"/>
      <c r="G39" s="318">
        <v>1381.0653400000001</v>
      </c>
      <c r="H39" s="318"/>
      <c r="I39" s="368">
        <f t="shared" si="0"/>
        <v>1618.9346599999999</v>
      </c>
      <c r="J39" s="409"/>
      <c r="K39" s="129"/>
      <c r="L39" s="157"/>
      <c r="M39" s="157"/>
    </row>
    <row r="40" spans="1:13" ht="17.25" customHeight="1" thickBot="1" x14ac:dyDescent="0.3">
      <c r="B40" s="120"/>
      <c r="C40" s="174" t="s">
        <v>118</v>
      </c>
      <c r="D40" s="317">
        <v>500</v>
      </c>
      <c r="E40" s="318">
        <v>500</v>
      </c>
      <c r="F40" s="318"/>
      <c r="G40" s="318">
        <v>170</v>
      </c>
      <c r="H40" s="318"/>
      <c r="I40" s="368">
        <f t="shared" si="0"/>
        <v>330</v>
      </c>
      <c r="J40" s="409"/>
      <c r="K40" s="129"/>
      <c r="L40" s="157"/>
      <c r="M40" s="157"/>
    </row>
    <row r="41" spans="1:13" ht="14.1" customHeight="1" thickBot="1" x14ac:dyDescent="0.3">
      <c r="B41" s="120"/>
      <c r="C41" s="152" t="s">
        <v>14</v>
      </c>
      <c r="D41" s="317">
        <v>0</v>
      </c>
      <c r="E41" s="318"/>
      <c r="F41" s="318"/>
      <c r="G41" s="318">
        <v>330</v>
      </c>
      <c r="H41" s="318"/>
      <c r="I41" s="368">
        <f t="shared" si="0"/>
        <v>-330</v>
      </c>
      <c r="J41" s="409">
        <v>576</v>
      </c>
      <c r="K41" s="129"/>
      <c r="L41" s="157"/>
      <c r="M41" s="157"/>
    </row>
    <row r="42" spans="1:13" ht="16.5" customHeight="1" thickBot="1" x14ac:dyDescent="0.3">
      <c r="B42" s="120"/>
      <c r="C42" s="180" t="s">
        <v>9</v>
      </c>
      <c r="D42" s="319">
        <f>D21+D24+D35+D36+D37+D38+D39+D40+D41</f>
        <v>356418</v>
      </c>
      <c r="E42" s="320">
        <f>E21+E24+E35+E36+E37+E38+E39+E40+E41</f>
        <v>356206</v>
      </c>
      <c r="F42" s="320">
        <f>F21+F24+F35+F36+F37+F38+F41+F39</f>
        <v>7110.7832099999996</v>
      </c>
      <c r="G42" s="320">
        <f>G21+G24+G35+G36+G37+G38+G39+G40+G41</f>
        <v>373842.40150999994</v>
      </c>
      <c r="H42" s="196">
        <f>H26+H27+H28+H29+H33</f>
        <v>20259</v>
      </c>
      <c r="I42" s="300">
        <f>I21+I24+I35+I36+I37+I38+I39+I40+I41</f>
        <v>-17636.401509999996</v>
      </c>
      <c r="J42" s="197">
        <f>J21+J24+J35+J36+J37+J38+J39+J40+J41</f>
        <v>414350.04339999997</v>
      </c>
      <c r="K42" s="129"/>
      <c r="L42" s="157"/>
      <c r="M42" s="157"/>
    </row>
    <row r="43" spans="1:13" ht="14.1" customHeight="1" x14ac:dyDescent="0.25">
      <c r="A43" s="16"/>
      <c r="B43" s="123"/>
      <c r="C43" s="124" t="s">
        <v>113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25">
      <c r="B44" s="123"/>
      <c r="C44" s="133" t="s">
        <v>114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25">
      <c r="B45" s="123"/>
      <c r="C45" s="202" t="s">
        <v>121</v>
      </c>
      <c r="D45" s="204"/>
      <c r="E45" s="204"/>
      <c r="F45" s="204"/>
      <c r="G45" s="132"/>
      <c r="H45" s="157"/>
      <c r="I45" s="157"/>
      <c r="J45" s="119"/>
      <c r="K45" s="125"/>
      <c r="L45" s="124"/>
      <c r="M45" s="124"/>
    </row>
    <row r="46" spans="1:13" s="16" customFormat="1" ht="14.1" customHeight="1" x14ac:dyDescent="0.25">
      <c r="B46" s="123"/>
      <c r="C46" s="202" t="s">
        <v>119</v>
      </c>
      <c r="D46" s="204"/>
      <c r="E46" s="204"/>
      <c r="F46" s="204"/>
      <c r="G46" s="132"/>
      <c r="H46" s="157"/>
      <c r="I46" s="157"/>
      <c r="J46" s="119"/>
      <c r="K46" s="125"/>
      <c r="L46" s="124"/>
      <c r="M46" s="124"/>
    </row>
    <row r="47" spans="1:13" s="16" customFormat="1" ht="10.5" customHeight="1" thickBot="1" x14ac:dyDescent="0.3">
      <c r="B47" s="134"/>
      <c r="D47" s="365"/>
      <c r="E47" s="365"/>
      <c r="F47" s="365"/>
      <c r="G47" s="366"/>
      <c r="H47" s="105"/>
      <c r="I47" s="105"/>
      <c r="J47" s="155"/>
      <c r="K47" s="136"/>
      <c r="L47" s="124"/>
      <c r="M47" s="124"/>
    </row>
    <row r="48" spans="1:13" ht="12" customHeight="1" thickTop="1" x14ac:dyDescent="0.25">
      <c r="B48" s="6"/>
      <c r="C48" s="216"/>
      <c r="D48" s="119"/>
      <c r="E48" s="6"/>
      <c r="F48" s="38"/>
      <c r="G48" s="6"/>
      <c r="H48" s="6"/>
      <c r="I48" s="6"/>
      <c r="J48" s="119"/>
      <c r="K48" s="6"/>
      <c r="L48" s="119"/>
      <c r="M48" s="119"/>
    </row>
    <row r="49" spans="2:13" ht="19.5" customHeight="1" thickBot="1" x14ac:dyDescent="0.3">
      <c r="B49" s="8"/>
      <c r="C49" s="64" t="s">
        <v>30</v>
      </c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2:13" ht="17.100000000000001" customHeight="1" thickTop="1" x14ac:dyDescent="0.25">
      <c r="B50" s="450" t="s">
        <v>1</v>
      </c>
      <c r="C50" s="451"/>
      <c r="D50" s="451"/>
      <c r="E50" s="451"/>
      <c r="F50" s="451"/>
      <c r="G50" s="451"/>
      <c r="H50" s="451"/>
      <c r="I50" s="451"/>
      <c r="J50" s="451"/>
      <c r="K50" s="452"/>
      <c r="L50" s="205"/>
      <c r="M50" s="205"/>
    </row>
    <row r="51" spans="2:13" ht="12" customHeight="1" thickBot="1" x14ac:dyDescent="0.3">
      <c r="B51" s="120"/>
      <c r="C51" s="137"/>
      <c r="D51" s="138"/>
      <c r="E51" s="138"/>
      <c r="F51" s="138"/>
      <c r="G51" s="13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442" t="s">
        <v>2</v>
      </c>
      <c r="D52" s="443"/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27</v>
      </c>
      <c r="D53" s="244">
        <v>13755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3</v>
      </c>
      <c r="D54" s="244">
        <v>12225</v>
      </c>
      <c r="E54" s="139"/>
      <c r="F54" s="139"/>
      <c r="G54" s="177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28</v>
      </c>
      <c r="D55" s="244">
        <v>1020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0"/>
      <c r="C56" s="140" t="s">
        <v>31</v>
      </c>
      <c r="D56" s="244">
        <f>SUM(D53:D55)</f>
        <v>27000</v>
      </c>
      <c r="E56" s="139"/>
      <c r="F56" s="139"/>
      <c r="G56" s="139"/>
      <c r="H56" s="119"/>
      <c r="I56" s="119"/>
      <c r="J56" s="119"/>
      <c r="K56" s="121"/>
      <c r="L56" s="119"/>
      <c r="M56" s="119"/>
    </row>
    <row r="57" spans="2:13" ht="14.1" customHeight="1" thickBot="1" x14ac:dyDescent="0.3">
      <c r="B57" s="126"/>
      <c r="C57" s="141"/>
      <c r="D57" s="245"/>
      <c r="E57" s="142"/>
      <c r="F57" s="142"/>
      <c r="G57" s="142"/>
      <c r="H57" s="127"/>
      <c r="I57" s="127"/>
      <c r="J57" s="127"/>
      <c r="K57" s="128"/>
      <c r="L57" s="119"/>
      <c r="M57" s="119"/>
    </row>
    <row r="58" spans="2:13" ht="17.100000000000001" customHeight="1" thickBot="1" x14ac:dyDescent="0.3">
      <c r="B58" s="455" t="s">
        <v>8</v>
      </c>
      <c r="C58" s="456"/>
      <c r="D58" s="456"/>
      <c r="E58" s="456"/>
      <c r="F58" s="456"/>
      <c r="G58" s="456"/>
      <c r="H58" s="456"/>
      <c r="I58" s="456"/>
      <c r="J58" s="456"/>
      <c r="K58" s="457"/>
      <c r="L58" s="205"/>
      <c r="M58" s="205"/>
    </row>
    <row r="59" spans="2:13" s="3" customFormat="1" ht="63.75" thickBot="1" x14ac:dyDescent="0.3">
      <c r="B59" s="143"/>
      <c r="C59" s="403" t="s">
        <v>19</v>
      </c>
      <c r="D59" s="404" t="s">
        <v>20</v>
      </c>
      <c r="E59" s="326" t="str">
        <f>F20</f>
        <v>LANDET KVANTUM UKE 52</v>
      </c>
      <c r="F59" s="326" t="str">
        <f>G20</f>
        <v>LANDET KVANTUM T.O.M UKE 52</v>
      </c>
      <c r="G59" s="326" t="str">
        <f>I20</f>
        <v>RESTKVOTER</v>
      </c>
      <c r="H59" s="327" t="str">
        <f>J20</f>
        <v>LANDET KVANTUM T.O.M. UKE 52 2017</v>
      </c>
      <c r="I59" s="144"/>
      <c r="J59" s="144"/>
      <c r="K59" s="145"/>
      <c r="L59" s="144"/>
      <c r="M59" s="144"/>
    </row>
    <row r="60" spans="2:13" ht="14.1" customHeight="1" x14ac:dyDescent="0.25">
      <c r="B60" s="146"/>
      <c r="C60" s="370" t="s">
        <v>32</v>
      </c>
      <c r="D60" s="464">
        <v>5346</v>
      </c>
      <c r="E60" s="347">
        <v>249.60131999999999</v>
      </c>
      <c r="F60" s="412">
        <v>3478.1177299999999</v>
      </c>
      <c r="G60" s="466">
        <f>D60-F60-F61</f>
        <v>-476.92761999999993</v>
      </c>
      <c r="H60" s="348">
        <v>2673.7568999999999</v>
      </c>
      <c r="I60" s="161"/>
      <c r="J60" s="161"/>
      <c r="K60" s="188"/>
      <c r="L60" s="106"/>
      <c r="M60" s="106"/>
    </row>
    <row r="61" spans="2:13" ht="14.1" customHeight="1" x14ac:dyDescent="0.25">
      <c r="B61" s="146"/>
      <c r="C61" s="147" t="s">
        <v>29</v>
      </c>
      <c r="D61" s="465"/>
      <c r="E61" s="428">
        <v>1.8324</v>
      </c>
      <c r="F61" s="418">
        <v>2344.80989</v>
      </c>
      <c r="G61" s="467"/>
      <c r="H61" s="415">
        <v>1827.8643</v>
      </c>
      <c r="I61" s="161"/>
      <c r="J61" s="161"/>
      <c r="K61" s="188"/>
      <c r="L61" s="106"/>
      <c r="M61" s="106"/>
    </row>
    <row r="62" spans="2:13" ht="14.1" customHeight="1" thickBot="1" x14ac:dyDescent="0.3">
      <c r="B62" s="146"/>
      <c r="C62" s="148" t="s">
        <v>75</v>
      </c>
      <c r="D62" s="402">
        <v>200</v>
      </c>
      <c r="E62" s="380"/>
      <c r="F62" s="419">
        <v>102.69617</v>
      </c>
      <c r="G62" s="386">
        <f>D62-F62</f>
        <v>97.303830000000005</v>
      </c>
      <c r="H62" s="416">
        <v>95.636799999999994</v>
      </c>
      <c r="I62" s="161"/>
      <c r="J62" s="161"/>
      <c r="K62" s="188"/>
      <c r="L62" s="106"/>
      <c r="M62" s="106"/>
    </row>
    <row r="63" spans="2:13" s="98" customFormat="1" ht="15.6" customHeight="1" x14ac:dyDescent="0.25">
      <c r="B63" s="162"/>
      <c r="C63" s="370" t="s">
        <v>115</v>
      </c>
      <c r="D63" s="422">
        <v>8019</v>
      </c>
      <c r="E63" s="347">
        <f>SUM(E64:E66)</f>
        <v>1.7600000000000001E-2</v>
      </c>
      <c r="F63" s="412">
        <f>F64+F65+F66</f>
        <v>7766.6351100000002</v>
      </c>
      <c r="G63" s="347">
        <f>D63-F63</f>
        <v>252.36488999999983</v>
      </c>
      <c r="H63" s="348">
        <f>H64+H65+H66</f>
        <v>7717.3009000000002</v>
      </c>
      <c r="I63" s="163"/>
      <c r="J63" s="163"/>
      <c r="K63" s="188"/>
      <c r="L63" s="106"/>
      <c r="M63" s="106"/>
    </row>
    <row r="64" spans="2:13" s="22" customFormat="1" ht="14.1" customHeight="1" x14ac:dyDescent="0.25">
      <c r="B64" s="149"/>
      <c r="C64" s="150" t="s">
        <v>33</v>
      </c>
      <c r="D64" s="423"/>
      <c r="E64" s="357"/>
      <c r="F64" s="413">
        <v>3376.6984499999999</v>
      </c>
      <c r="G64" s="357"/>
      <c r="H64" s="358">
        <v>3468.1161999999999</v>
      </c>
      <c r="I64" s="151"/>
      <c r="J64" s="151"/>
      <c r="K64" s="188"/>
      <c r="L64" s="106"/>
      <c r="M64" s="106"/>
    </row>
    <row r="65" spans="2:13" s="22" customFormat="1" ht="14.1" customHeight="1" x14ac:dyDescent="0.25">
      <c r="B65" s="149"/>
      <c r="C65" s="150" t="s">
        <v>34</v>
      </c>
      <c r="D65" s="423"/>
      <c r="E65" s="357">
        <v>1.7600000000000001E-2</v>
      </c>
      <c r="F65" s="413">
        <v>2961.95613</v>
      </c>
      <c r="G65" s="357"/>
      <c r="H65" s="358">
        <v>2938.1518000000001</v>
      </c>
      <c r="I65" s="176"/>
      <c r="J65" s="176"/>
      <c r="K65" s="188"/>
      <c r="L65" s="106"/>
      <c r="M65" s="106"/>
    </row>
    <row r="66" spans="2:13" s="22" customFormat="1" ht="14.1" customHeight="1" thickBot="1" x14ac:dyDescent="0.3">
      <c r="B66" s="149"/>
      <c r="C66" s="406" t="s">
        <v>35</v>
      </c>
      <c r="D66" s="424"/>
      <c r="E66" s="421"/>
      <c r="F66" s="414">
        <v>1427.98053</v>
      </c>
      <c r="G66" s="421"/>
      <c r="H66" s="378">
        <v>1311.0328999999999</v>
      </c>
      <c r="I66" s="176"/>
      <c r="J66" s="176"/>
      <c r="K66" s="188"/>
      <c r="L66" s="106"/>
      <c r="M66" s="106"/>
    </row>
    <row r="67" spans="2:13" ht="14.1" customHeight="1" thickBot="1" x14ac:dyDescent="0.3">
      <c r="B67" s="120"/>
      <c r="C67" s="405" t="s">
        <v>36</v>
      </c>
      <c r="D67" s="425">
        <v>190</v>
      </c>
      <c r="E67" s="380"/>
      <c r="F67" s="419">
        <v>54.438180000000003</v>
      </c>
      <c r="G67" s="380">
        <f>D67-F67</f>
        <v>135.56182000000001</v>
      </c>
      <c r="H67" s="416">
        <v>0.75219999999999998</v>
      </c>
      <c r="I67" s="157"/>
      <c r="J67" s="157"/>
      <c r="K67" s="188"/>
      <c r="L67" s="106"/>
      <c r="M67" s="106"/>
    </row>
    <row r="68" spans="2:13" ht="14.1" customHeight="1" thickBot="1" x14ac:dyDescent="0.3">
      <c r="B68" s="120"/>
      <c r="C68" s="152" t="s">
        <v>14</v>
      </c>
      <c r="D68" s="426"/>
      <c r="E68" s="379"/>
      <c r="F68" s="420">
        <v>3.5999999999999999E-3</v>
      </c>
      <c r="G68" s="379"/>
      <c r="H68" s="417">
        <v>62.407200000000003</v>
      </c>
      <c r="I68" s="157"/>
      <c r="J68" s="157"/>
      <c r="K68" s="188"/>
      <c r="L68" s="106"/>
      <c r="M68" s="106"/>
    </row>
    <row r="69" spans="2:13" s="3" customFormat="1" ht="16.5" customHeight="1" thickBot="1" x14ac:dyDescent="0.3">
      <c r="B69" s="118"/>
      <c r="C69" s="180" t="s">
        <v>9</v>
      </c>
      <c r="D69" s="427">
        <f>SUM(D60:D68)</f>
        <v>13755</v>
      </c>
      <c r="E69" s="200">
        <f>E60+E61+E62+E63+E67+E68</f>
        <v>251.45131999999998</v>
      </c>
      <c r="F69" s="222">
        <f>F60+F61+F62+F63+F67+F68</f>
        <v>13746.70068</v>
      </c>
      <c r="G69" s="200">
        <f>G60+G61+G62+G63+G67+G68</f>
        <v>8.302919999999915</v>
      </c>
      <c r="H69" s="197">
        <f>H60+H61+H62+H63+H67+H68</f>
        <v>12377.7183</v>
      </c>
      <c r="I69" s="173"/>
      <c r="J69" s="173"/>
      <c r="K69" s="188"/>
      <c r="L69" s="106"/>
      <c r="M69" s="106"/>
    </row>
    <row r="70" spans="2:13" s="3" customFormat="1" ht="19.149999999999999" customHeight="1" thickBot="1" x14ac:dyDescent="0.3">
      <c r="B70" s="158"/>
      <c r="C70" s="462" t="s">
        <v>116</v>
      </c>
      <c r="D70" s="462"/>
      <c r="E70" s="462"/>
      <c r="F70" s="221"/>
      <c r="G70" s="154"/>
      <c r="H70" s="175"/>
      <c r="I70" s="159"/>
      <c r="J70" s="159"/>
      <c r="K70" s="160"/>
      <c r="L70" s="4"/>
      <c r="M70" s="4"/>
    </row>
    <row r="71" spans="2:13" ht="12" customHeight="1" thickTop="1" x14ac:dyDescent="0.25">
      <c r="B71" s="6"/>
      <c r="C71" s="33"/>
      <c r="D71" s="34"/>
      <c r="E71" s="34"/>
      <c r="F71" s="34"/>
      <c r="G71" s="34"/>
      <c r="H71" s="38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2" customHeight="1" x14ac:dyDescent="0.25">
      <c r="B73" s="6"/>
      <c r="C73" s="33"/>
      <c r="D73" s="34"/>
      <c r="E73" s="34"/>
      <c r="F73" s="34"/>
      <c r="G73" s="34"/>
      <c r="H73" s="6"/>
      <c r="I73" s="6"/>
      <c r="J73" s="119"/>
      <c r="K73" s="6"/>
      <c r="L73" s="119"/>
      <c r="M73" s="119"/>
    </row>
    <row r="74" spans="2:13" ht="17.100000000000001" customHeight="1" thickBot="1" x14ac:dyDescent="0.3">
      <c r="B74" s="7"/>
      <c r="C74" s="63" t="s">
        <v>26</v>
      </c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2:13" ht="17.100000000000001" customHeight="1" thickTop="1" x14ac:dyDescent="0.25">
      <c r="B75" s="450" t="s">
        <v>1</v>
      </c>
      <c r="C75" s="451"/>
      <c r="D75" s="451"/>
      <c r="E75" s="451"/>
      <c r="F75" s="451"/>
      <c r="G75" s="451"/>
      <c r="H75" s="451"/>
      <c r="I75" s="451"/>
      <c r="J75" s="451"/>
      <c r="K75" s="452"/>
      <c r="L75" s="205"/>
      <c r="M75" s="205"/>
    </row>
    <row r="76" spans="2:13" ht="4.5" customHeight="1" thickBot="1" x14ac:dyDescent="0.3">
      <c r="B76" s="120"/>
      <c r="C76" s="119"/>
      <c r="D76" s="119"/>
      <c r="E76" s="119"/>
      <c r="F76" s="119"/>
      <c r="G76" s="119"/>
      <c r="H76" s="119"/>
      <c r="I76" s="119"/>
      <c r="J76" s="119"/>
      <c r="K76" s="121"/>
      <c r="L76" s="119"/>
      <c r="M76" s="119"/>
    </row>
    <row r="77" spans="2:13" ht="14.1" customHeight="1" thickBot="1" x14ac:dyDescent="0.3">
      <c r="B77" s="118"/>
      <c r="C77" s="453" t="s">
        <v>2</v>
      </c>
      <c r="D77" s="454"/>
      <c r="E77" s="453" t="s">
        <v>20</v>
      </c>
      <c r="F77" s="458"/>
      <c r="G77" s="453" t="s">
        <v>21</v>
      </c>
      <c r="H77" s="454"/>
      <c r="I77" s="157"/>
      <c r="J77" s="157"/>
      <c r="K77" s="116"/>
      <c r="L77" s="137"/>
      <c r="M77" s="137"/>
    </row>
    <row r="78" spans="2:13" ht="15" x14ac:dyDescent="0.25">
      <c r="B78" s="246"/>
      <c r="C78" s="166" t="s">
        <v>27</v>
      </c>
      <c r="D78" s="170">
        <v>99230</v>
      </c>
      <c r="E78" s="247" t="s">
        <v>5</v>
      </c>
      <c r="F78" s="240">
        <v>37797</v>
      </c>
      <c r="G78" s="248" t="s">
        <v>25</v>
      </c>
      <c r="H78" s="240">
        <v>11101</v>
      </c>
      <c r="I78" s="167"/>
      <c r="J78" s="167"/>
      <c r="K78" s="249"/>
      <c r="L78" s="290"/>
      <c r="M78" s="137"/>
    </row>
    <row r="79" spans="2:13" ht="15" x14ac:dyDescent="0.25">
      <c r="B79" s="246"/>
      <c r="C79" s="166" t="s">
        <v>3</v>
      </c>
      <c r="D79" s="170">
        <v>90230</v>
      </c>
      <c r="E79" s="250" t="s">
        <v>6</v>
      </c>
      <c r="F79" s="170">
        <v>61670</v>
      </c>
      <c r="G79" s="248" t="s">
        <v>57</v>
      </c>
      <c r="H79" s="170">
        <v>45636</v>
      </c>
      <c r="I79" s="167"/>
      <c r="J79" s="167"/>
      <c r="K79" s="249"/>
      <c r="L79" s="290"/>
      <c r="M79" s="137"/>
    </row>
    <row r="80" spans="2:13" ht="18" thickBot="1" x14ac:dyDescent="0.3">
      <c r="B80" s="246"/>
      <c r="C80" s="166" t="s">
        <v>97</v>
      </c>
      <c r="D80" s="170">
        <v>12845</v>
      </c>
      <c r="E80" s="166" t="s">
        <v>96</v>
      </c>
      <c r="F80" s="170">
        <v>2138</v>
      </c>
      <c r="G80" s="248" t="s">
        <v>58</v>
      </c>
      <c r="H80" s="170">
        <v>4933</v>
      </c>
      <c r="I80" s="167"/>
      <c r="J80" s="167"/>
      <c r="K80" s="249"/>
      <c r="L80" s="290"/>
      <c r="M80" s="137"/>
    </row>
    <row r="81" spans="1:13" ht="14.1" customHeight="1" thickBot="1" x14ac:dyDescent="0.3">
      <c r="B81" s="246"/>
      <c r="C81" s="122" t="s">
        <v>31</v>
      </c>
      <c r="D81" s="171">
        <f>SUM(D78:D80)</f>
        <v>202305</v>
      </c>
      <c r="E81" s="122" t="s">
        <v>7</v>
      </c>
      <c r="F81" s="171">
        <f>SUM(F78:F80)</f>
        <v>101605</v>
      </c>
      <c r="G81" s="122" t="s">
        <v>6</v>
      </c>
      <c r="H81" s="171">
        <f>SUM(H78:H80)</f>
        <v>61670</v>
      </c>
      <c r="I81" s="167"/>
      <c r="J81" s="167"/>
      <c r="K81" s="251"/>
      <c r="L81" s="254"/>
      <c r="M81" s="119"/>
    </row>
    <row r="82" spans="1:13" ht="12" customHeight="1" x14ac:dyDescent="0.25">
      <c r="B82" s="246"/>
      <c r="C82" s="387" t="s">
        <v>100</v>
      </c>
      <c r="D82" s="201"/>
      <c r="E82" s="201"/>
      <c r="F82" s="201"/>
      <c r="G82" s="201"/>
      <c r="H82" s="201"/>
      <c r="I82" s="253"/>
      <c r="J82" s="254"/>
      <c r="K82" s="251"/>
      <c r="L82" s="254"/>
      <c r="M82" s="119"/>
    </row>
    <row r="83" spans="1:13" ht="14.25" customHeight="1" x14ac:dyDescent="0.25">
      <c r="B83" s="246"/>
      <c r="C83" s="463" t="s">
        <v>101</v>
      </c>
      <c r="D83" s="463"/>
      <c r="E83" s="463"/>
      <c r="F83" s="463"/>
      <c r="G83" s="463"/>
      <c r="H83" s="463"/>
      <c r="I83" s="253"/>
      <c r="J83" s="254"/>
      <c r="K83" s="251"/>
      <c r="L83" s="254"/>
      <c r="M83" s="119"/>
    </row>
    <row r="84" spans="1:13" ht="6" customHeight="1" thickBot="1" x14ac:dyDescent="0.3">
      <c r="B84" s="246"/>
      <c r="C84" s="463"/>
      <c r="D84" s="463"/>
      <c r="E84" s="463"/>
      <c r="F84" s="463"/>
      <c r="G84" s="463"/>
      <c r="H84" s="463"/>
      <c r="I84" s="254"/>
      <c r="J84" s="254"/>
      <c r="K84" s="251"/>
      <c r="L84" s="254"/>
      <c r="M84" s="119"/>
    </row>
    <row r="85" spans="1:13" ht="14.1" customHeight="1" x14ac:dyDescent="0.25">
      <c r="B85" s="459" t="s">
        <v>8</v>
      </c>
      <c r="C85" s="460"/>
      <c r="D85" s="460"/>
      <c r="E85" s="460"/>
      <c r="F85" s="460"/>
      <c r="G85" s="460"/>
      <c r="H85" s="460"/>
      <c r="I85" s="460"/>
      <c r="J85" s="460"/>
      <c r="K85" s="461"/>
      <c r="L85" s="291"/>
      <c r="M85" s="205"/>
    </row>
    <row r="86" spans="1:13" ht="5.25" customHeight="1" thickBot="1" x14ac:dyDescent="0.3">
      <c r="B86" s="9"/>
      <c r="C86" s="14"/>
      <c r="D86" s="6"/>
      <c r="E86" s="6"/>
      <c r="F86" s="62"/>
      <c r="G86" s="6"/>
      <c r="H86" s="6"/>
      <c r="I86" s="6"/>
      <c r="J86" s="119"/>
      <c r="K86" s="10"/>
      <c r="L86" s="119"/>
      <c r="M86" s="119"/>
    </row>
    <row r="87" spans="1:13" ht="48.75" customHeight="1" thickBot="1" x14ac:dyDescent="0.3">
      <c r="A87" s="121"/>
      <c r="B87" s="119"/>
      <c r="C87" s="179" t="s">
        <v>19</v>
      </c>
      <c r="D87" s="325" t="s">
        <v>76</v>
      </c>
      <c r="E87" s="321" t="s">
        <v>73</v>
      </c>
      <c r="F87" s="321" t="str">
        <f>F20</f>
        <v>LANDET KVANTUM UKE 52</v>
      </c>
      <c r="G87" s="321" t="str">
        <f>G20</f>
        <v>LANDET KVANTUM T.O.M UKE 52</v>
      </c>
      <c r="H87" s="194" t="str">
        <f>I20</f>
        <v>RESTKVOTER</v>
      </c>
      <c r="I87" s="195" t="str">
        <f>J20</f>
        <v>LANDET KVANTUM T.O.M. UKE 52 2017</v>
      </c>
      <c r="J87" s="119"/>
      <c r="K87" s="10"/>
      <c r="L87" s="119"/>
      <c r="M87" s="119"/>
    </row>
    <row r="88" spans="1:13" ht="14.1" customHeight="1" x14ac:dyDescent="0.25">
      <c r="A88" s="121"/>
      <c r="B88" s="119"/>
      <c r="C88" s="343" t="s">
        <v>16</v>
      </c>
      <c r="D88" s="312">
        <f>D90+D89</f>
        <v>37797</v>
      </c>
      <c r="E88" s="328">
        <f>E90+E89</f>
        <v>37875</v>
      </c>
      <c r="F88" s="328">
        <f>F90+F89</f>
        <v>1501.3176800000001</v>
      </c>
      <c r="G88" s="328">
        <f>G89+G90</f>
        <v>39330.714480000002</v>
      </c>
      <c r="H88" s="328">
        <f>H89+H90</f>
        <v>-1455.7144799999992</v>
      </c>
      <c r="I88" s="329">
        <f>I89+I90</f>
        <v>52613.820200000002</v>
      </c>
      <c r="J88" s="157"/>
      <c r="K88" s="129"/>
      <c r="L88" s="157"/>
      <c r="M88" s="157"/>
    </row>
    <row r="89" spans="1:13" ht="14.1" customHeight="1" x14ac:dyDescent="0.25">
      <c r="A89" s="121"/>
      <c r="B89" s="119"/>
      <c r="C89" s="258" t="s">
        <v>12</v>
      </c>
      <c r="D89" s="313">
        <v>37047</v>
      </c>
      <c r="E89" s="330">
        <v>37125</v>
      </c>
      <c r="F89" s="330">
        <v>1500.1094800000001</v>
      </c>
      <c r="G89" s="330">
        <v>38754.099979999999</v>
      </c>
      <c r="H89" s="330">
        <f>E89-G89</f>
        <v>-1629.0999799999991</v>
      </c>
      <c r="I89" s="331">
        <v>52315.253799999999</v>
      </c>
      <c r="J89" s="157"/>
      <c r="K89" s="129"/>
      <c r="L89" s="157"/>
      <c r="M89" s="157"/>
    </row>
    <row r="90" spans="1:13" ht="15.75" thickBot="1" x14ac:dyDescent="0.3">
      <c r="A90" s="121"/>
      <c r="B90" s="119"/>
      <c r="C90" s="344" t="s">
        <v>11</v>
      </c>
      <c r="D90" s="324">
        <v>750</v>
      </c>
      <c r="E90" s="332">
        <v>750</v>
      </c>
      <c r="F90" s="332">
        <v>1.2081999999999999</v>
      </c>
      <c r="G90" s="332">
        <v>576.61450000000002</v>
      </c>
      <c r="H90" s="332">
        <f>E90-G90</f>
        <v>173.38549999999998</v>
      </c>
      <c r="I90" s="333">
        <v>298.56639999999999</v>
      </c>
      <c r="J90" s="157"/>
      <c r="K90" s="129"/>
      <c r="L90" s="157"/>
      <c r="M90" s="157"/>
    </row>
    <row r="91" spans="1:13" ht="14.1" customHeight="1" x14ac:dyDescent="0.25">
      <c r="A91" s="121"/>
      <c r="B91" s="4"/>
      <c r="C91" s="257" t="s">
        <v>17</v>
      </c>
      <c r="D91" s="312">
        <f t="shared" ref="D91:I91" si="1">D92+D97+D98</f>
        <v>63185</v>
      </c>
      <c r="E91" s="328">
        <f t="shared" si="1"/>
        <v>74063</v>
      </c>
      <c r="F91" s="328">
        <f t="shared" si="1"/>
        <v>982.65473000000009</v>
      </c>
      <c r="G91" s="328">
        <f t="shared" si="1"/>
        <v>54273.226390000003</v>
      </c>
      <c r="H91" s="328">
        <f>H92+H97+H98</f>
        <v>19789.773609999997</v>
      </c>
      <c r="I91" s="329">
        <f t="shared" si="1"/>
        <v>57575.024699999994</v>
      </c>
      <c r="J91" s="157"/>
      <c r="K91" s="129"/>
      <c r="L91" s="157"/>
      <c r="M91" s="157"/>
    </row>
    <row r="92" spans="1:13" ht="15.75" customHeight="1" x14ac:dyDescent="0.25">
      <c r="A92" s="121"/>
      <c r="B92" s="39"/>
      <c r="C92" s="264" t="s">
        <v>88</v>
      </c>
      <c r="D92" s="314">
        <f t="shared" ref="D92:I92" si="2">D93+D94+D95+D96</f>
        <v>47151</v>
      </c>
      <c r="E92" s="334">
        <f t="shared" si="2"/>
        <v>56854</v>
      </c>
      <c r="F92" s="334">
        <f t="shared" si="2"/>
        <v>33.048749999999998</v>
      </c>
      <c r="G92" s="334">
        <f t="shared" si="2"/>
        <v>35217.961620000002</v>
      </c>
      <c r="H92" s="334">
        <f>H93+H94+H95+H96</f>
        <v>21636.038379999998</v>
      </c>
      <c r="I92" s="335">
        <f t="shared" si="2"/>
        <v>38793.742599999998</v>
      </c>
      <c r="J92" s="157"/>
      <c r="K92" s="129"/>
      <c r="L92" s="157"/>
      <c r="M92" s="157"/>
    </row>
    <row r="93" spans="1:13" ht="14.1" customHeight="1" x14ac:dyDescent="0.25">
      <c r="A93" s="116"/>
      <c r="B93" s="137"/>
      <c r="C93" s="263" t="s">
        <v>22</v>
      </c>
      <c r="D93" s="315">
        <v>13457</v>
      </c>
      <c r="E93" s="336">
        <v>16514</v>
      </c>
      <c r="F93" s="336">
        <v>2.8659599999999998</v>
      </c>
      <c r="G93" s="336">
        <v>8067.11042</v>
      </c>
      <c r="H93" s="336">
        <f t="shared" ref="H93:H101" si="3">E93-G93</f>
        <v>8446.8895799999991</v>
      </c>
      <c r="I93" s="337">
        <v>7725.4727000000003</v>
      </c>
      <c r="J93" s="157"/>
      <c r="K93" s="129"/>
      <c r="L93" s="157"/>
      <c r="M93" s="157"/>
    </row>
    <row r="94" spans="1:13" ht="14.1" customHeight="1" x14ac:dyDescent="0.25">
      <c r="A94" s="116"/>
      <c r="B94" s="137"/>
      <c r="C94" s="263" t="s">
        <v>23</v>
      </c>
      <c r="D94" s="315">
        <v>12792</v>
      </c>
      <c r="E94" s="336">
        <v>15627</v>
      </c>
      <c r="F94" s="336">
        <v>11.37565</v>
      </c>
      <c r="G94" s="336">
        <v>11030.45693</v>
      </c>
      <c r="H94" s="336">
        <f t="shared" si="3"/>
        <v>4596.5430699999997</v>
      </c>
      <c r="I94" s="337">
        <v>10388.9936</v>
      </c>
      <c r="J94" s="157"/>
      <c r="K94" s="129"/>
      <c r="L94" s="157"/>
      <c r="M94" s="157"/>
    </row>
    <row r="95" spans="1:13" ht="14.1" customHeight="1" x14ac:dyDescent="0.25">
      <c r="A95" s="116"/>
      <c r="B95" s="137"/>
      <c r="C95" s="263" t="s">
        <v>24</v>
      </c>
      <c r="D95" s="315">
        <v>13463</v>
      </c>
      <c r="E95" s="336">
        <v>16606</v>
      </c>
      <c r="F95" s="336">
        <v>18.80714</v>
      </c>
      <c r="G95" s="336">
        <v>9577.6490799999992</v>
      </c>
      <c r="H95" s="336">
        <f t="shared" si="3"/>
        <v>7028.3509200000008</v>
      </c>
      <c r="I95" s="337">
        <v>12584.6268</v>
      </c>
      <c r="J95" s="157"/>
      <c r="K95" s="129"/>
      <c r="L95" s="157"/>
      <c r="M95" s="157"/>
    </row>
    <row r="96" spans="1:13" ht="14.1" customHeight="1" x14ac:dyDescent="0.25">
      <c r="A96" s="116"/>
      <c r="B96" s="137"/>
      <c r="C96" s="263" t="s">
        <v>89</v>
      </c>
      <c r="D96" s="315">
        <v>7439</v>
      </c>
      <c r="E96" s="336">
        <v>8107</v>
      </c>
      <c r="F96" s="336"/>
      <c r="G96" s="336">
        <v>6542.7451899999996</v>
      </c>
      <c r="H96" s="336">
        <f t="shared" si="3"/>
        <v>1564.2548100000004</v>
      </c>
      <c r="I96" s="337">
        <v>8094.6495000000004</v>
      </c>
      <c r="J96" s="157"/>
      <c r="K96" s="129"/>
      <c r="L96" s="157"/>
      <c r="M96" s="157"/>
    </row>
    <row r="97" spans="1:13" ht="14.1" customHeight="1" x14ac:dyDescent="0.25">
      <c r="A97" s="116"/>
      <c r="B97" s="137"/>
      <c r="C97" s="264" t="s">
        <v>29</v>
      </c>
      <c r="D97" s="314">
        <v>11101</v>
      </c>
      <c r="E97" s="334">
        <v>11124</v>
      </c>
      <c r="F97" s="334">
        <v>947.60598000000005</v>
      </c>
      <c r="G97" s="334">
        <v>17044.264770000002</v>
      </c>
      <c r="H97" s="334">
        <f t="shared" si="3"/>
        <v>-5920.2647700000016</v>
      </c>
      <c r="I97" s="335">
        <v>16491.3024</v>
      </c>
      <c r="J97" s="157"/>
      <c r="K97" s="129"/>
      <c r="L97" s="157"/>
      <c r="M97" s="157"/>
    </row>
    <row r="98" spans="1:13" ht="14.1" customHeight="1" thickBot="1" x14ac:dyDescent="0.3">
      <c r="A98" s="121"/>
      <c r="B98" s="39"/>
      <c r="C98" s="265" t="s">
        <v>86</v>
      </c>
      <c r="D98" s="322">
        <v>4933</v>
      </c>
      <c r="E98" s="345">
        <v>6085</v>
      </c>
      <c r="F98" s="345">
        <v>2</v>
      </c>
      <c r="G98" s="345">
        <v>2011</v>
      </c>
      <c r="H98" s="345">
        <f t="shared" si="3"/>
        <v>4074</v>
      </c>
      <c r="I98" s="346">
        <v>2289.9796999999999</v>
      </c>
      <c r="J98" s="157"/>
      <c r="K98" s="129"/>
      <c r="L98" s="157"/>
      <c r="M98" s="157"/>
    </row>
    <row r="99" spans="1:13" ht="15.75" thickBot="1" x14ac:dyDescent="0.3">
      <c r="A99" s="121"/>
      <c r="B99" s="39"/>
      <c r="C99" s="174" t="s">
        <v>13</v>
      </c>
      <c r="D99" s="385">
        <v>323</v>
      </c>
      <c r="E99" s="341">
        <v>323</v>
      </c>
      <c r="F99" s="341"/>
      <c r="G99" s="341">
        <v>13.3302</v>
      </c>
      <c r="H99" s="341">
        <f t="shared" si="3"/>
        <v>309.66980000000001</v>
      </c>
      <c r="I99" s="342">
        <v>28.518999999999998</v>
      </c>
      <c r="J99" s="157"/>
      <c r="K99" s="129"/>
      <c r="L99" s="157"/>
      <c r="M99" s="157"/>
    </row>
    <row r="100" spans="1:13" ht="18" thickBot="1" x14ac:dyDescent="0.3">
      <c r="A100" s="121"/>
      <c r="B100" s="119"/>
      <c r="C100" s="174" t="s">
        <v>62</v>
      </c>
      <c r="D100" s="317">
        <v>300</v>
      </c>
      <c r="E100" s="318">
        <v>300</v>
      </c>
      <c r="F100" s="318">
        <v>3.0779999999999998E-2</v>
      </c>
      <c r="G100" s="318">
        <v>300</v>
      </c>
      <c r="H100" s="318">
        <f t="shared" si="3"/>
        <v>0</v>
      </c>
      <c r="I100" s="323">
        <v>300</v>
      </c>
      <c r="J100" s="157"/>
      <c r="K100" s="129"/>
      <c r="L100" s="157"/>
      <c r="M100" s="157"/>
    </row>
    <row r="101" spans="1:13" ht="16.5" customHeight="1" thickBot="1" x14ac:dyDescent="0.3">
      <c r="A101" s="121"/>
      <c r="B101" s="119"/>
      <c r="C101" s="256" t="s">
        <v>14</v>
      </c>
      <c r="D101" s="317"/>
      <c r="E101" s="318"/>
      <c r="F101" s="318"/>
      <c r="G101" s="318">
        <v>132</v>
      </c>
      <c r="H101" s="318">
        <f t="shared" si="3"/>
        <v>-132</v>
      </c>
      <c r="I101" s="323">
        <v>135</v>
      </c>
      <c r="J101" s="157"/>
      <c r="K101" s="129"/>
      <c r="L101" s="157"/>
      <c r="M101" s="157"/>
    </row>
    <row r="102" spans="1:13" ht="16.5" thickBot="1" x14ac:dyDescent="0.3">
      <c r="A102" s="121"/>
      <c r="B102" s="119"/>
      <c r="C102" s="180" t="s">
        <v>9</v>
      </c>
      <c r="D102" s="319">
        <f t="shared" ref="D102:G102" si="4">D88+D91+D99+D100+D101</f>
        <v>101605</v>
      </c>
      <c r="E102" s="222">
        <f>E88+E91+E99+E100+E101</f>
        <v>112561</v>
      </c>
      <c r="F102" s="222">
        <f t="shared" si="4"/>
        <v>2484.0031900000004</v>
      </c>
      <c r="G102" s="222">
        <f t="shared" si="4"/>
        <v>94049.271070000003</v>
      </c>
      <c r="H102" s="222">
        <f>H88+H91+H99+H100+H101</f>
        <v>18511.728929999997</v>
      </c>
      <c r="I102" s="197">
        <f>I88+I91+I99+I100+I101</f>
        <v>110652.3639</v>
      </c>
      <c r="J102" s="157"/>
      <c r="K102" s="129"/>
      <c r="L102" s="157"/>
      <c r="M102" s="157"/>
    </row>
    <row r="103" spans="1:13" ht="15" x14ac:dyDescent="0.25">
      <c r="A103" s="121"/>
      <c r="B103" s="119"/>
      <c r="C103" s="124" t="s">
        <v>102</v>
      </c>
      <c r="D103" s="181"/>
      <c r="E103" s="181"/>
      <c r="F103" s="182"/>
      <c r="G103" s="182"/>
      <c r="H103" s="183"/>
      <c r="I103" s="164"/>
      <c r="J103" s="157"/>
      <c r="K103" s="129"/>
      <c r="L103" s="157"/>
      <c r="M103" s="157"/>
    </row>
    <row r="104" spans="1:13" ht="13.5" customHeight="1" x14ac:dyDescent="0.25">
      <c r="B104" s="13"/>
      <c r="C104" s="202" t="s">
        <v>120</v>
      </c>
      <c r="D104" s="132"/>
      <c r="E104" s="132"/>
      <c r="F104" s="172"/>
      <c r="G104" s="172"/>
      <c r="H104" s="164"/>
      <c r="I104" s="164"/>
      <c r="J104" s="164"/>
      <c r="K104" s="15"/>
      <c r="L104" s="124"/>
      <c r="M104" s="124"/>
    </row>
    <row r="105" spans="1:13" ht="15" customHeight="1" thickBot="1" x14ac:dyDescent="0.3">
      <c r="B105" s="24"/>
      <c r="C105" s="203"/>
      <c r="D105" s="203"/>
      <c r="E105" s="203"/>
      <c r="F105" s="203"/>
      <c r="G105" s="104"/>
      <c r="H105" s="104"/>
      <c r="I105" s="25"/>
      <c r="J105" s="135"/>
      <c r="K105" s="26"/>
      <c r="L105" s="124"/>
      <c r="M105" s="124"/>
    </row>
    <row r="106" spans="1:13" ht="8.25" customHeight="1" thickTop="1" x14ac:dyDescent="0.25">
      <c r="B106" s="14"/>
      <c r="C106" s="14"/>
      <c r="D106" s="14"/>
      <c r="E106" s="14"/>
      <c r="F106" s="14"/>
      <c r="G106" s="14"/>
      <c r="H106" s="14"/>
      <c r="I106" s="14"/>
      <c r="J106" s="124"/>
      <c r="K106" s="14"/>
      <c r="L106" s="124"/>
      <c r="M106" s="124"/>
    </row>
    <row r="107" spans="1:13" s="40" customFormat="1" ht="14.25" customHeight="1" thickBot="1" x14ac:dyDescent="0.3">
      <c r="A107" s="80"/>
      <c r="C107" s="64" t="s">
        <v>37</v>
      </c>
      <c r="I107" s="80"/>
      <c r="J107" s="80"/>
      <c r="L107" s="80"/>
      <c r="M107" s="80"/>
    </row>
    <row r="108" spans="1:13" ht="17.100000000000001" customHeight="1" thickTop="1" x14ac:dyDescent="0.25">
      <c r="B108" s="450" t="s">
        <v>1</v>
      </c>
      <c r="C108" s="451"/>
      <c r="D108" s="451"/>
      <c r="E108" s="451"/>
      <c r="F108" s="451"/>
      <c r="G108" s="451"/>
      <c r="H108" s="451"/>
      <c r="I108" s="451"/>
      <c r="J108" s="451"/>
      <c r="K108" s="452"/>
      <c r="L108" s="205"/>
      <c r="M108" s="205"/>
    </row>
    <row r="109" spans="1:13" ht="6" customHeight="1" thickBot="1" x14ac:dyDescent="0.3">
      <c r="B109" s="9"/>
      <c r="C109" s="6"/>
      <c r="D109" s="6"/>
      <c r="E109" s="6"/>
      <c r="F109" s="6"/>
      <c r="G109" s="6"/>
      <c r="H109" s="41"/>
      <c r="I109" s="81"/>
      <c r="J109" s="81"/>
      <c r="K109" s="42"/>
      <c r="L109" s="81"/>
      <c r="M109" s="81"/>
    </row>
    <row r="110" spans="1:13" ht="14.1" customHeight="1" thickBot="1" x14ac:dyDescent="0.3">
      <c r="B110" s="2"/>
      <c r="C110" s="453" t="s">
        <v>2</v>
      </c>
      <c r="D110" s="454"/>
      <c r="E110" s="453" t="s">
        <v>20</v>
      </c>
      <c r="F110" s="454"/>
      <c r="G110" s="453" t="s">
        <v>21</v>
      </c>
      <c r="H110" s="454"/>
      <c r="I110" s="38"/>
      <c r="J110" s="157"/>
      <c r="K110" s="1"/>
      <c r="L110" s="4"/>
      <c r="M110" s="4"/>
    </row>
    <row r="111" spans="1:13" ht="15" customHeight="1" x14ac:dyDescent="0.25">
      <c r="B111" s="9"/>
      <c r="C111" s="11" t="s">
        <v>27</v>
      </c>
      <c r="D111" s="170">
        <v>156950</v>
      </c>
      <c r="E111" s="165" t="s">
        <v>5</v>
      </c>
      <c r="F111" s="240">
        <v>56818</v>
      </c>
      <c r="G111" s="166" t="s">
        <v>25</v>
      </c>
      <c r="H111" s="240">
        <v>6419</v>
      </c>
      <c r="I111" s="38"/>
      <c r="J111" s="157"/>
      <c r="K111" s="42"/>
      <c r="L111" s="81"/>
      <c r="M111" s="81"/>
    </row>
    <row r="112" spans="1:13" ht="14.1" customHeight="1" x14ac:dyDescent="0.25">
      <c r="B112" s="9"/>
      <c r="C112" s="11" t="s">
        <v>3</v>
      </c>
      <c r="D112" s="170">
        <v>12000</v>
      </c>
      <c r="E112" s="166" t="s">
        <v>6</v>
      </c>
      <c r="F112" s="170">
        <v>58354</v>
      </c>
      <c r="G112" s="166" t="s">
        <v>57</v>
      </c>
      <c r="H112" s="170">
        <v>43765</v>
      </c>
      <c r="I112" s="38"/>
      <c r="J112" s="157"/>
      <c r="K112" s="10"/>
      <c r="L112" s="119"/>
      <c r="M112" s="119"/>
    </row>
    <row r="113" spans="2:13" ht="14.1" customHeight="1" x14ac:dyDescent="0.25">
      <c r="B113" s="120"/>
      <c r="C113" s="44" t="s">
        <v>93</v>
      </c>
      <c r="D113" s="170">
        <v>3550</v>
      </c>
      <c r="E113" s="166" t="s">
        <v>38</v>
      </c>
      <c r="F113" s="170">
        <v>38390</v>
      </c>
      <c r="G113" s="166" t="s">
        <v>58</v>
      </c>
      <c r="H113" s="170">
        <v>8170</v>
      </c>
      <c r="I113" s="157"/>
      <c r="J113" s="157"/>
      <c r="K113" s="121"/>
      <c r="L113" s="119"/>
      <c r="M113" s="119"/>
    </row>
    <row r="114" spans="2:13" ht="14.1" customHeight="1" thickBot="1" x14ac:dyDescent="0.3">
      <c r="B114" s="43"/>
      <c r="C114" s="388"/>
      <c r="D114" s="389"/>
      <c r="E114" s="389" t="s">
        <v>85</v>
      </c>
      <c r="F114" s="170">
        <v>3388</v>
      </c>
      <c r="G114" s="11"/>
      <c r="H114" s="388"/>
      <c r="I114" s="38"/>
      <c r="J114" s="157"/>
      <c r="K114" s="10"/>
      <c r="L114" s="119"/>
      <c r="M114" s="119"/>
    </row>
    <row r="115" spans="2:13" ht="14.1" customHeight="1" thickBot="1" x14ac:dyDescent="0.3">
      <c r="B115" s="9"/>
      <c r="C115" s="12" t="s">
        <v>31</v>
      </c>
      <c r="D115" s="171">
        <f>SUM(D111:D113)</f>
        <v>172500</v>
      </c>
      <c r="E115" s="390" t="s">
        <v>7</v>
      </c>
      <c r="F115" s="171">
        <f>SUM(F111:F114)</f>
        <v>156950</v>
      </c>
      <c r="G115" s="122" t="s">
        <v>6</v>
      </c>
      <c r="H115" s="391">
        <f>SUM(H111:H113)</f>
        <v>58354</v>
      </c>
      <c r="I115" s="38"/>
      <c r="J115" s="157"/>
      <c r="K115" s="10"/>
      <c r="L115" s="119"/>
      <c r="M115" s="119"/>
    </row>
    <row r="116" spans="2:13" s="16" customFormat="1" ht="13.9" customHeight="1" x14ac:dyDescent="0.25">
      <c r="B116" s="13"/>
      <c r="C116" s="124" t="s">
        <v>82</v>
      </c>
      <c r="D116" s="169"/>
      <c r="E116" s="169"/>
      <c r="F116" s="169"/>
      <c r="G116" s="124"/>
      <c r="H116" s="124"/>
      <c r="I116" s="14"/>
      <c r="J116" s="124"/>
      <c r="K116" s="15"/>
      <c r="L116" s="124"/>
      <c r="M116" s="124"/>
    </row>
    <row r="117" spans="2:13" ht="12" customHeight="1" thickBot="1" x14ac:dyDescent="0.3">
      <c r="B117" s="17"/>
      <c r="D117" s="18"/>
      <c r="E117" s="18"/>
      <c r="F117" s="18"/>
      <c r="G117" s="18"/>
      <c r="H117" s="18"/>
      <c r="I117" s="18"/>
      <c r="J117" s="127"/>
      <c r="K117" s="19"/>
      <c r="L117" s="119"/>
      <c r="M117" s="119"/>
    </row>
    <row r="118" spans="2:13" ht="17.100000000000001" customHeight="1" x14ac:dyDescent="0.25">
      <c r="B118" s="455" t="s">
        <v>8</v>
      </c>
      <c r="C118" s="456"/>
      <c r="D118" s="456"/>
      <c r="E118" s="456"/>
      <c r="F118" s="456"/>
      <c r="G118" s="456"/>
      <c r="H118" s="456"/>
      <c r="I118" s="456"/>
      <c r="J118" s="456"/>
      <c r="K118" s="457"/>
      <c r="L118" s="205"/>
      <c r="M118" s="205"/>
    </row>
    <row r="119" spans="2:13" ht="3.75" customHeight="1" thickBot="1" x14ac:dyDescent="0.3">
      <c r="B119" s="9"/>
      <c r="C119" s="14"/>
      <c r="D119" s="6"/>
      <c r="E119" s="6"/>
      <c r="F119" s="6"/>
      <c r="G119" s="6"/>
      <c r="H119" s="6"/>
      <c r="I119" s="6"/>
      <c r="J119" s="119"/>
      <c r="K119" s="10"/>
      <c r="L119" s="119"/>
      <c r="M119" s="119"/>
    </row>
    <row r="120" spans="2:13" s="3" customFormat="1" ht="61.5" customHeight="1" thickBot="1" x14ac:dyDescent="0.3">
      <c r="B120" s="2"/>
      <c r="C120" s="217" t="s">
        <v>19</v>
      </c>
      <c r="D120" s="179" t="s">
        <v>76</v>
      </c>
      <c r="E120" s="325" t="s">
        <v>73</v>
      </c>
      <c r="F120" s="325" t="str">
        <f>F20</f>
        <v>LANDET KVANTUM UKE 52</v>
      </c>
      <c r="G120" s="325" t="str">
        <f>G20</f>
        <v>LANDET KVANTUM T.O.M UKE 52</v>
      </c>
      <c r="H120" s="194" t="str">
        <f>I20</f>
        <v>RESTKVOTER</v>
      </c>
      <c r="I120" s="195" t="str">
        <f>J20</f>
        <v>LANDET KVANTUM T.O.M. UKE 52 2017</v>
      </c>
      <c r="J120" s="4"/>
      <c r="K120" s="1"/>
      <c r="L120" s="4"/>
      <c r="M120" s="4"/>
    </row>
    <row r="121" spans="2:13" s="71" customFormat="1" ht="14.1" customHeight="1" x14ac:dyDescent="0.25">
      <c r="B121" s="9"/>
      <c r="C121" s="257" t="s">
        <v>80</v>
      </c>
      <c r="D121" s="231">
        <f t="shared" ref="D121:I121" si="5">D122+D123+D124</f>
        <v>56818</v>
      </c>
      <c r="E121" s="410">
        <f t="shared" si="5"/>
        <v>59885</v>
      </c>
      <c r="F121" s="347">
        <f t="shared" si="5"/>
        <v>1376.7422799999999</v>
      </c>
      <c r="G121" s="347">
        <f t="shared" si="5"/>
        <v>64617.579019999997</v>
      </c>
      <c r="H121" s="347">
        <f t="shared" si="5"/>
        <v>-4732.5790199999974</v>
      </c>
      <c r="I121" s="348">
        <f t="shared" si="5"/>
        <v>45272.451799999995</v>
      </c>
      <c r="J121" s="157"/>
      <c r="K121" s="129"/>
      <c r="L121" s="157"/>
      <c r="M121" s="157"/>
    </row>
    <row r="122" spans="2:13" ht="14.1" customHeight="1" x14ac:dyDescent="0.25">
      <c r="B122" s="9"/>
      <c r="C122" s="258" t="s">
        <v>12</v>
      </c>
      <c r="D122" s="242">
        <v>45454</v>
      </c>
      <c r="E122" s="371">
        <v>47653</v>
      </c>
      <c r="F122" s="349">
        <v>1263.74803</v>
      </c>
      <c r="G122" s="349">
        <f>55020.87076-2709</f>
        <v>52311.870759999998</v>
      </c>
      <c r="H122" s="349">
        <f>E122-G122</f>
        <v>-4658.870759999998</v>
      </c>
      <c r="I122" s="350">
        <v>39190.467299999997</v>
      </c>
      <c r="J122" s="157"/>
      <c r="K122" s="129"/>
      <c r="L122" s="157"/>
      <c r="M122" s="157"/>
    </row>
    <row r="123" spans="2:13" ht="14.1" customHeight="1" x14ac:dyDescent="0.25">
      <c r="B123" s="9"/>
      <c r="C123" s="258" t="s">
        <v>11</v>
      </c>
      <c r="D123" s="242">
        <v>10864</v>
      </c>
      <c r="E123" s="371">
        <v>11732</v>
      </c>
      <c r="F123" s="349">
        <v>112.99424999999999</v>
      </c>
      <c r="G123" s="349">
        <f>9510.70826+2709</f>
        <v>12219.708259999999</v>
      </c>
      <c r="H123" s="349">
        <f>E123-G123</f>
        <v>-487.70825999999943</v>
      </c>
      <c r="I123" s="350">
        <v>6081.9844999999996</v>
      </c>
      <c r="J123" s="157"/>
      <c r="K123" s="129"/>
      <c r="L123" s="157"/>
      <c r="M123" s="157"/>
    </row>
    <row r="124" spans="2:13" ht="15.75" thickBot="1" x14ac:dyDescent="0.3">
      <c r="B124" s="9"/>
      <c r="C124" s="259" t="s">
        <v>39</v>
      </c>
      <c r="D124" s="243">
        <v>500</v>
      </c>
      <c r="E124" s="411">
        <v>500</v>
      </c>
      <c r="F124" s="351"/>
      <c r="G124" s="351">
        <v>86</v>
      </c>
      <c r="H124" s="351">
        <f>E124-G124</f>
        <v>414</v>
      </c>
      <c r="I124" s="352"/>
      <c r="J124" s="157"/>
      <c r="K124" s="129"/>
      <c r="L124" s="157"/>
      <c r="M124" s="157"/>
    </row>
    <row r="125" spans="2:13" s="98" customFormat="1" ht="13.5" customHeight="1" thickBot="1" x14ac:dyDescent="0.3">
      <c r="B125" s="100"/>
      <c r="C125" s="260" t="s">
        <v>127</v>
      </c>
      <c r="D125" s="293">
        <v>38390</v>
      </c>
      <c r="E125" s="429">
        <v>37940</v>
      </c>
      <c r="F125" s="376"/>
      <c r="G125" s="229">
        <v>39390</v>
      </c>
      <c r="H125" s="296">
        <f>E125-G125</f>
        <v>-1450</v>
      </c>
      <c r="I125" s="298">
        <v>31520.564699999999</v>
      </c>
      <c r="J125" s="101"/>
      <c r="K125" s="129"/>
      <c r="L125" s="157"/>
      <c r="M125" s="157"/>
    </row>
    <row r="126" spans="2:13" s="71" customFormat="1" ht="14.25" customHeight="1" thickBot="1" x14ac:dyDescent="0.3">
      <c r="B126" s="9"/>
      <c r="C126" s="261" t="s">
        <v>17</v>
      </c>
      <c r="D126" s="224">
        <f>D127+D132+D135</f>
        <v>59368</v>
      </c>
      <c r="E126" s="429">
        <f>E127+E132+E135</f>
        <v>61690</v>
      </c>
      <c r="F126" s="376">
        <f>F127+F132+F135</f>
        <v>21.682039999999997</v>
      </c>
      <c r="G126" s="229">
        <f>G135+G132+G127</f>
        <v>56654.212579999999</v>
      </c>
      <c r="H126" s="353">
        <f>H127+H132+H135</f>
        <v>5035.7874199999997</v>
      </c>
      <c r="I126" s="354">
        <f>I127+I132+I135</f>
        <v>48123.850299999991</v>
      </c>
      <c r="J126" s="119"/>
      <c r="K126" s="129"/>
      <c r="L126" s="157"/>
      <c r="M126" s="157"/>
    </row>
    <row r="127" spans="2:13" ht="15.75" customHeight="1" x14ac:dyDescent="0.25">
      <c r="B127" s="2"/>
      <c r="C127" s="262" t="s">
        <v>128</v>
      </c>
      <c r="D127" s="375">
        <f>D128+D129+D130+D131</f>
        <v>44779</v>
      </c>
      <c r="E127" s="372">
        <f>E128+E129+E130+E131</f>
        <v>45652</v>
      </c>
      <c r="F127" s="372">
        <f>F128+F129+F130+F131</f>
        <v>19.531109999999998</v>
      </c>
      <c r="G127" s="372">
        <f>G128+G129+G131+G130</f>
        <v>45287</v>
      </c>
      <c r="H127" s="355">
        <f>H128+H129+H130+H131</f>
        <v>365</v>
      </c>
      <c r="I127" s="356">
        <f>I128+I129+I130+I131</f>
        <v>38292.062999999995</v>
      </c>
      <c r="J127" s="4"/>
      <c r="K127" s="129"/>
      <c r="L127" s="157"/>
      <c r="M127" s="157"/>
    </row>
    <row r="128" spans="2:13" s="22" customFormat="1" ht="14.1" customHeight="1" x14ac:dyDescent="0.25">
      <c r="B128" s="45"/>
      <c r="C128" s="263" t="s">
        <v>22</v>
      </c>
      <c r="D128" s="239">
        <f>12789</f>
        <v>12789</v>
      </c>
      <c r="E128" s="228">
        <v>14054</v>
      </c>
      <c r="F128" s="228">
        <v>2.5767799999999998</v>
      </c>
      <c r="G128" s="228">
        <v>8673</v>
      </c>
      <c r="H128" s="357">
        <f t="shared" ref="H128:H139" si="6">E128-G128</f>
        <v>5381</v>
      </c>
      <c r="I128" s="358">
        <v>7060.0415999999996</v>
      </c>
      <c r="J128" s="46"/>
      <c r="K128" s="129"/>
      <c r="L128" s="157"/>
      <c r="M128" s="157"/>
    </row>
    <row r="129" spans="2:13" s="22" customFormat="1" ht="14.1" customHeight="1" x14ac:dyDescent="0.25">
      <c r="B129" s="131"/>
      <c r="C129" s="263" t="s">
        <v>23</v>
      </c>
      <c r="D129" s="239">
        <v>11990</v>
      </c>
      <c r="E129" s="228">
        <v>13031</v>
      </c>
      <c r="F129" s="228">
        <v>10.838329999999999</v>
      </c>
      <c r="G129" s="228">
        <v>12683</v>
      </c>
      <c r="H129" s="357">
        <f t="shared" si="6"/>
        <v>348</v>
      </c>
      <c r="I129" s="358">
        <v>9922.5427</v>
      </c>
      <c r="J129" s="137"/>
      <c r="K129" s="129"/>
      <c r="L129" s="157"/>
      <c r="M129" s="157"/>
    </row>
    <row r="130" spans="2:13" s="22" customFormat="1" ht="14.1" customHeight="1" x14ac:dyDescent="0.25">
      <c r="B130" s="131"/>
      <c r="C130" s="263" t="s">
        <v>24</v>
      </c>
      <c r="D130" s="239">
        <v>11335</v>
      </c>
      <c r="E130" s="228">
        <v>10523</v>
      </c>
      <c r="F130" s="228">
        <v>6.1159999999999997</v>
      </c>
      <c r="G130" s="228">
        <v>13354</v>
      </c>
      <c r="H130" s="357">
        <f t="shared" si="6"/>
        <v>-2831</v>
      </c>
      <c r="I130" s="358">
        <v>11518.082399999999</v>
      </c>
      <c r="J130" s="137"/>
      <c r="K130" s="129"/>
      <c r="L130" s="157"/>
      <c r="M130" s="157"/>
    </row>
    <row r="131" spans="2:13" s="22" customFormat="1" ht="14.1" customHeight="1" x14ac:dyDescent="0.25">
      <c r="B131" s="131"/>
      <c r="C131" s="263" t="s">
        <v>89</v>
      </c>
      <c r="D131" s="239">
        <v>8665</v>
      </c>
      <c r="E131" s="228">
        <v>8044</v>
      </c>
      <c r="F131" s="228"/>
      <c r="G131" s="228">
        <v>10577</v>
      </c>
      <c r="H131" s="357">
        <f t="shared" si="6"/>
        <v>-2533</v>
      </c>
      <c r="I131" s="358">
        <v>9791.3963000000003</v>
      </c>
      <c r="J131" s="137"/>
      <c r="K131" s="129"/>
      <c r="L131" s="157"/>
      <c r="M131" s="157"/>
    </row>
    <row r="132" spans="2:13" s="23" customFormat="1" ht="14.1" customHeight="1" x14ac:dyDescent="0.25">
      <c r="B132" s="20"/>
      <c r="C132" s="264" t="s">
        <v>18</v>
      </c>
      <c r="D132" s="232">
        <f>D133+D134</f>
        <v>6419</v>
      </c>
      <c r="E132" s="373">
        <f>E133+E134</f>
        <v>7057</v>
      </c>
      <c r="F132" s="373">
        <v>2.9700000000000001E-2</v>
      </c>
      <c r="G132" s="373">
        <v>5317.2125800000003</v>
      </c>
      <c r="H132" s="359">
        <f t="shared" si="6"/>
        <v>1739.7874199999997</v>
      </c>
      <c r="I132" s="360">
        <v>3755.4011999999998</v>
      </c>
      <c r="J132" s="39"/>
      <c r="K132" s="129"/>
      <c r="L132" s="157"/>
      <c r="M132" s="157"/>
    </row>
    <row r="133" spans="2:13" ht="14.1" customHeight="1" x14ac:dyDescent="0.25">
      <c r="B133" s="9"/>
      <c r="C133" s="263" t="s">
        <v>40</v>
      </c>
      <c r="D133" s="239">
        <v>5919</v>
      </c>
      <c r="E133" s="228">
        <v>6557</v>
      </c>
      <c r="F133" s="228"/>
      <c r="G133" s="228">
        <v>5221.5985799999999</v>
      </c>
      <c r="H133" s="357">
        <f t="shared" si="6"/>
        <v>1335.4014200000001</v>
      </c>
      <c r="I133" s="358">
        <v>3691.1030999999998</v>
      </c>
      <c r="J133" s="119"/>
      <c r="K133" s="129"/>
      <c r="L133" s="157"/>
      <c r="M133" s="157"/>
    </row>
    <row r="134" spans="2:13" ht="14.1" customHeight="1" x14ac:dyDescent="0.25">
      <c r="B134" s="20"/>
      <c r="C134" s="263" t="s">
        <v>41</v>
      </c>
      <c r="D134" s="239">
        <v>500</v>
      </c>
      <c r="E134" s="228">
        <v>500</v>
      </c>
      <c r="F134" s="228">
        <f>F132-F133</f>
        <v>2.9700000000000001E-2</v>
      </c>
      <c r="G134" s="228">
        <f>G132-G133</f>
        <v>95.614000000000487</v>
      </c>
      <c r="H134" s="357">
        <f t="shared" si="6"/>
        <v>404.38599999999951</v>
      </c>
      <c r="I134" s="358">
        <f>I132-I133</f>
        <v>64.298099999999977</v>
      </c>
      <c r="J134" s="39"/>
      <c r="K134" s="129"/>
      <c r="L134" s="157"/>
      <c r="M134" s="157"/>
    </row>
    <row r="135" spans="2:13" ht="15.75" thickBot="1" x14ac:dyDescent="0.3">
      <c r="B135" s="9"/>
      <c r="C135" s="265" t="s">
        <v>86</v>
      </c>
      <c r="D135" s="255">
        <v>8170</v>
      </c>
      <c r="E135" s="374">
        <v>8981</v>
      </c>
      <c r="F135" s="374">
        <v>2.1212300000000002</v>
      </c>
      <c r="G135" s="374">
        <v>6050</v>
      </c>
      <c r="H135" s="361">
        <f t="shared" si="6"/>
        <v>2931</v>
      </c>
      <c r="I135" s="362">
        <v>6076.3860999999997</v>
      </c>
      <c r="J135" s="119"/>
      <c r="K135" s="129"/>
      <c r="L135" s="157"/>
      <c r="M135" s="157"/>
    </row>
    <row r="136" spans="2:13" s="71" customFormat="1" ht="15.75" thickBot="1" x14ac:dyDescent="0.3">
      <c r="B136" s="9"/>
      <c r="C136" s="261" t="s">
        <v>13</v>
      </c>
      <c r="D136" s="224">
        <v>124</v>
      </c>
      <c r="E136" s="229">
        <v>124</v>
      </c>
      <c r="F136" s="229"/>
      <c r="G136" s="229">
        <v>13.6014</v>
      </c>
      <c r="H136" s="376">
        <f t="shared" si="6"/>
        <v>110.3986</v>
      </c>
      <c r="I136" s="377">
        <v>7.7099000000000002</v>
      </c>
      <c r="J136" s="119"/>
      <c r="K136" s="129"/>
      <c r="L136" s="157"/>
      <c r="M136" s="157"/>
    </row>
    <row r="137" spans="2:13" s="71" customFormat="1" ht="18" thickBot="1" x14ac:dyDescent="0.3">
      <c r="B137" s="9"/>
      <c r="C137" s="266" t="s">
        <v>66</v>
      </c>
      <c r="D137" s="294">
        <v>2000</v>
      </c>
      <c r="E137" s="297">
        <v>2000</v>
      </c>
      <c r="F137" s="297">
        <v>4.5900000000000003E-2</v>
      </c>
      <c r="G137" s="297">
        <v>2000</v>
      </c>
      <c r="H137" s="297">
        <f t="shared" si="6"/>
        <v>0</v>
      </c>
      <c r="I137" s="299">
        <v>2000</v>
      </c>
      <c r="J137" s="119"/>
      <c r="K137" s="129"/>
      <c r="L137" s="157"/>
      <c r="M137" s="157"/>
    </row>
    <row r="138" spans="2:13" s="71" customFormat="1" ht="15.75" thickBot="1" x14ac:dyDescent="0.3">
      <c r="B138" s="9"/>
      <c r="C138" s="261" t="s">
        <v>42</v>
      </c>
      <c r="D138" s="224">
        <v>250</v>
      </c>
      <c r="E138" s="229">
        <v>250</v>
      </c>
      <c r="F138" s="229"/>
      <c r="G138" s="229">
        <v>215.804</v>
      </c>
      <c r="H138" s="229">
        <f t="shared" si="6"/>
        <v>34.195999999999998</v>
      </c>
      <c r="I138" s="230">
        <v>252.19900000000001</v>
      </c>
      <c r="J138" s="157"/>
      <c r="K138" s="129"/>
      <c r="L138" s="157"/>
      <c r="M138" s="157"/>
    </row>
    <row r="139" spans="2:13" s="71" customFormat="1" ht="15.75" thickBot="1" x14ac:dyDescent="0.3">
      <c r="B139" s="9"/>
      <c r="C139" s="218" t="s">
        <v>14</v>
      </c>
      <c r="D139" s="223"/>
      <c r="E139" s="233"/>
      <c r="F139" s="233"/>
      <c r="G139" s="233">
        <v>1132</v>
      </c>
      <c r="H139" s="233">
        <f t="shared" si="6"/>
        <v>-1132</v>
      </c>
      <c r="I139" s="295">
        <v>761</v>
      </c>
      <c r="J139" s="119"/>
      <c r="K139" s="129"/>
      <c r="L139" s="157"/>
      <c r="M139" s="157"/>
    </row>
    <row r="140" spans="2:13" s="3" customFormat="1" ht="16.5" thickBot="1" x14ac:dyDescent="0.3">
      <c r="B140" s="2"/>
      <c r="C140" s="32" t="s">
        <v>9</v>
      </c>
      <c r="D140" s="187">
        <f>D121+D125+D126+D136+D137+D138+D139</f>
        <v>156950</v>
      </c>
      <c r="E140" s="187">
        <f t="shared" ref="E140:H140" si="7">E121+E125+E126+E136+E137+E138+E139</f>
        <v>161889</v>
      </c>
      <c r="F140" s="187">
        <f>F121+F125+F126+F136+F137+F138+F139</f>
        <v>1398.4702199999999</v>
      </c>
      <c r="G140" s="187">
        <f>G121+G125+G126+G136+G137+G138+G139</f>
        <v>164023.19700000001</v>
      </c>
      <c r="H140" s="187">
        <f t="shared" si="7"/>
        <v>-2134.1969999999978</v>
      </c>
      <c r="I140" s="407">
        <f>I121+I125+I126+I136+I137+I138+I139</f>
        <v>127937.77569999998</v>
      </c>
      <c r="J140" s="173"/>
      <c r="K140" s="129"/>
      <c r="L140" s="157"/>
      <c r="M140" s="157"/>
    </row>
    <row r="141" spans="2:13" s="3" customFormat="1" ht="14.25" customHeight="1" x14ac:dyDescent="0.25">
      <c r="B141" s="2"/>
      <c r="C141" s="16" t="s">
        <v>126</v>
      </c>
      <c r="D141" s="34"/>
      <c r="E141" s="34"/>
      <c r="F141" s="34"/>
      <c r="G141" s="34"/>
      <c r="H141" s="173"/>
      <c r="I141" s="173"/>
      <c r="J141" s="173"/>
      <c r="K141" s="1"/>
      <c r="L141" s="4"/>
      <c r="M141" s="4"/>
    </row>
    <row r="142" spans="2:13" s="3" customFormat="1" ht="14.25" customHeight="1" x14ac:dyDescent="0.25">
      <c r="B142" s="2"/>
      <c r="C142" s="124" t="s">
        <v>103</v>
      </c>
      <c r="D142" s="34"/>
      <c r="E142" s="34"/>
      <c r="F142" s="34"/>
      <c r="G142" s="34"/>
      <c r="H142" s="173"/>
      <c r="I142" s="4"/>
      <c r="J142" s="4"/>
      <c r="K142" s="69"/>
      <c r="L142" s="4"/>
      <c r="M142" s="4"/>
    </row>
    <row r="143" spans="2:13" s="3" customFormat="1" ht="14.25" customHeight="1" x14ac:dyDescent="0.25">
      <c r="B143" s="118"/>
      <c r="C143" s="202" t="s">
        <v>122</v>
      </c>
      <c r="D143" s="34"/>
      <c r="E143" s="34"/>
      <c r="F143" s="34"/>
      <c r="G143" s="34"/>
      <c r="H143" s="173"/>
      <c r="I143" s="4"/>
      <c r="J143" s="4"/>
      <c r="K143" s="117"/>
      <c r="L143" s="4"/>
      <c r="M143" s="4"/>
    </row>
    <row r="144" spans="2:13" s="3" customFormat="1" ht="14.25" customHeight="1" x14ac:dyDescent="0.25">
      <c r="B144" s="118"/>
      <c r="C144" s="16" t="s">
        <v>129</v>
      </c>
      <c r="D144" s="34"/>
      <c r="E144" s="34"/>
      <c r="F144" s="34"/>
      <c r="G144" s="34"/>
      <c r="H144" s="173"/>
      <c r="I144" s="173"/>
      <c r="J144" s="4"/>
      <c r="K144" s="117"/>
      <c r="L144" s="4"/>
      <c r="M144" s="4"/>
    </row>
    <row r="145" spans="2:13" ht="3" customHeight="1" thickBot="1" x14ac:dyDescent="0.3">
      <c r="B145" s="35"/>
      <c r="C145" s="47"/>
      <c r="D145" s="206"/>
      <c r="E145" s="206"/>
      <c r="F145" s="48"/>
      <c r="G145" s="48"/>
      <c r="H145" s="36"/>
      <c r="I145" s="78"/>
      <c r="J145" s="155"/>
      <c r="K145" s="37"/>
      <c r="L145" s="119"/>
      <c r="M145" s="119"/>
    </row>
    <row r="146" spans="2:13" ht="12" customHeight="1" thickTop="1" x14ac:dyDescent="0.25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12" customHeight="1" x14ac:dyDescent="0.25">
      <c r="B147" s="119"/>
      <c r="C147" s="137"/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x14ac:dyDescent="0.25">
      <c r="B148" s="6"/>
      <c r="C148" s="27"/>
      <c r="D148" s="28"/>
      <c r="E148" s="28"/>
      <c r="F148" s="28"/>
      <c r="G148" s="28"/>
      <c r="H148" s="6"/>
      <c r="I148" s="6"/>
      <c r="J148" s="119"/>
      <c r="K148" s="6"/>
      <c r="L148" s="119"/>
      <c r="M148" s="119"/>
    </row>
    <row r="149" spans="2:13" ht="20.25" customHeight="1" thickBot="1" x14ac:dyDescent="0.35">
      <c r="B149" s="119"/>
      <c r="C149" s="215" t="s">
        <v>64</v>
      </c>
      <c r="D149" s="138"/>
      <c r="E149" s="138"/>
      <c r="F149" s="138"/>
      <c r="G149" s="138"/>
      <c r="H149" s="119"/>
      <c r="I149" s="119"/>
      <c r="J149" s="119"/>
      <c r="K149" s="119"/>
      <c r="L149" s="119"/>
      <c r="M149" s="119"/>
    </row>
    <row r="150" spans="2:13" ht="12" customHeight="1" thickTop="1" thickBot="1" x14ac:dyDescent="0.3">
      <c r="B150" s="209"/>
      <c r="C150" s="210"/>
      <c r="D150" s="211"/>
      <c r="E150" s="211"/>
      <c r="F150" s="211"/>
      <c r="G150" s="211"/>
      <c r="H150" s="212"/>
      <c r="I150" s="212"/>
      <c r="J150" s="212"/>
      <c r="K150" s="213"/>
      <c r="L150" s="119"/>
      <c r="M150" s="119"/>
    </row>
    <row r="151" spans="2:13" ht="12" customHeight="1" thickBot="1" x14ac:dyDescent="0.3">
      <c r="B151" s="120"/>
      <c r="C151" s="442" t="s">
        <v>2</v>
      </c>
      <c r="D151" s="443"/>
      <c r="E151" s="189"/>
      <c r="F151" s="189"/>
      <c r="G151" s="138"/>
      <c r="H151" s="119"/>
      <c r="I151" s="119"/>
      <c r="J151" s="119"/>
      <c r="K151" s="121"/>
      <c r="L151" s="119"/>
      <c r="M151" s="119"/>
    </row>
    <row r="152" spans="2:13" ht="15" customHeight="1" x14ac:dyDescent="0.25">
      <c r="B152" s="120"/>
      <c r="C152" s="267" t="s">
        <v>54</v>
      </c>
      <c r="D152" s="268">
        <v>19514</v>
      </c>
      <c r="E152" s="269"/>
      <c r="F152" s="189"/>
      <c r="G152" s="138"/>
      <c r="H152" s="119"/>
      <c r="I152" s="119"/>
      <c r="J152" s="119"/>
      <c r="K152" s="121"/>
      <c r="L152" s="119"/>
      <c r="M152" s="119"/>
    </row>
    <row r="153" spans="2:13" ht="15" customHeight="1" x14ac:dyDescent="0.25">
      <c r="B153" s="120"/>
      <c r="C153" s="270" t="s">
        <v>69</v>
      </c>
      <c r="D153" s="271">
        <v>8878</v>
      </c>
      <c r="E153" s="269"/>
      <c r="F153" s="189"/>
      <c r="G153" s="138"/>
      <c r="H153" s="119"/>
      <c r="I153" s="119"/>
      <c r="J153" s="119"/>
      <c r="K153" s="121"/>
      <c r="L153" s="119"/>
      <c r="M153" s="119"/>
    </row>
    <row r="154" spans="2:13" ht="15" customHeight="1" thickBot="1" x14ac:dyDescent="0.3">
      <c r="B154" s="120"/>
      <c r="C154" s="272" t="s">
        <v>70</v>
      </c>
      <c r="D154" s="271">
        <v>4266</v>
      </c>
      <c r="E154" s="269"/>
      <c r="F154" s="189"/>
      <c r="G154" s="138"/>
      <c r="H154" s="119"/>
      <c r="I154" s="119"/>
      <c r="J154" s="119"/>
      <c r="K154" s="121"/>
      <c r="L154" s="119"/>
      <c r="M154" s="119"/>
    </row>
    <row r="155" spans="2:13" ht="16.5" thickBot="1" x14ac:dyDescent="0.3">
      <c r="B155" s="120"/>
      <c r="C155" s="273" t="s">
        <v>31</v>
      </c>
      <c r="D155" s="274">
        <f>SUM(D152:D154)</f>
        <v>32658</v>
      </c>
      <c r="E155" s="269"/>
      <c r="F155" s="189"/>
      <c r="G155" s="138"/>
      <c r="H155" s="119"/>
      <c r="I155" s="119"/>
      <c r="J155" s="119"/>
      <c r="K155" s="121"/>
      <c r="L155" s="119"/>
      <c r="M155" s="119"/>
    </row>
    <row r="156" spans="2:13" ht="11.25" customHeight="1" x14ac:dyDescent="0.25">
      <c r="B156" s="120"/>
      <c r="C156" s="275" t="s">
        <v>83</v>
      </c>
      <c r="D156" s="276"/>
      <c r="E156" s="276"/>
      <c r="F156" s="138"/>
      <c r="G156" s="138"/>
      <c r="H156" s="119"/>
      <c r="I156" s="119"/>
      <c r="J156" s="119"/>
      <c r="K156" s="121"/>
      <c r="L156" s="119"/>
      <c r="M156" s="119"/>
    </row>
    <row r="157" spans="2:13" ht="11.25" customHeight="1" x14ac:dyDescent="0.25">
      <c r="B157" s="120"/>
      <c r="C157" s="275" t="s">
        <v>94</v>
      </c>
      <c r="D157" s="276"/>
      <c r="E157" s="276"/>
      <c r="F157" s="138"/>
      <c r="G157" s="138"/>
      <c r="H157" s="119"/>
      <c r="I157" s="119"/>
      <c r="J157" s="119"/>
      <c r="K157" s="121"/>
      <c r="L157" s="119"/>
      <c r="M157" s="119"/>
    </row>
    <row r="158" spans="2:13" ht="12" customHeight="1" x14ac:dyDescent="0.25">
      <c r="B158" s="120"/>
      <c r="C158" s="124" t="s">
        <v>117</v>
      </c>
      <c r="D158" s="138"/>
      <c r="E158" s="138"/>
      <c r="F158" s="138"/>
      <c r="G158" s="138"/>
      <c r="H158" s="119"/>
      <c r="I158" s="119"/>
      <c r="J158" s="119"/>
      <c r="K158" s="121"/>
      <c r="L158" s="119"/>
      <c r="M158" s="119"/>
    </row>
    <row r="159" spans="2:13" ht="5.25" customHeight="1" thickBot="1" x14ac:dyDescent="0.3">
      <c r="B159" s="120"/>
      <c r="C159" s="124"/>
      <c r="D159" s="138"/>
      <c r="E159" s="138"/>
      <c r="F159" s="138"/>
      <c r="G159" s="138"/>
      <c r="H159" s="119"/>
      <c r="I159" s="119"/>
      <c r="J159" s="119"/>
      <c r="K159" s="121"/>
      <c r="L159" s="119"/>
      <c r="M159" s="119"/>
    </row>
    <row r="160" spans="2:13" ht="63.75" thickBot="1" x14ac:dyDescent="0.3">
      <c r="B160" s="120"/>
      <c r="C160" s="107" t="s">
        <v>19</v>
      </c>
      <c r="D160" s="114" t="s">
        <v>20</v>
      </c>
      <c r="E160" s="70" t="str">
        <f>F20</f>
        <v>LANDET KVANTUM UKE 52</v>
      </c>
      <c r="F160" s="70" t="str">
        <f>G20</f>
        <v>LANDET KVANTUM T.O.M UKE 52</v>
      </c>
      <c r="G160" s="70" t="str">
        <f>I20</f>
        <v>RESTKVOTER</v>
      </c>
      <c r="H160" s="93" t="str">
        <f>J20</f>
        <v>LANDET KVANTUM T.O.M. UKE 52 2017</v>
      </c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2" t="s">
        <v>5</v>
      </c>
      <c r="D161" s="184">
        <v>19401</v>
      </c>
      <c r="E161" s="184">
        <v>454.94510000000002</v>
      </c>
      <c r="F161" s="184">
        <v>18363.968519999999</v>
      </c>
      <c r="G161" s="184">
        <f>D161-F161</f>
        <v>1037.0314800000015</v>
      </c>
      <c r="H161" s="219">
        <v>16070.4643</v>
      </c>
      <c r="I161" s="119"/>
      <c r="J161" s="119"/>
      <c r="K161" s="121"/>
      <c r="L161" s="119"/>
      <c r="M161" s="119"/>
    </row>
    <row r="162" spans="1:13" ht="15" customHeight="1" thickBot="1" x14ac:dyDescent="0.3">
      <c r="B162" s="120"/>
      <c r="C162" s="115" t="s">
        <v>41</v>
      </c>
      <c r="D162" s="184">
        <v>100</v>
      </c>
      <c r="E162" s="184"/>
      <c r="F162" s="184">
        <v>4.05863</v>
      </c>
      <c r="G162" s="184">
        <f>D162-F162</f>
        <v>95.941370000000006</v>
      </c>
      <c r="H162" s="219">
        <v>9.4547000000000008</v>
      </c>
      <c r="I162" s="119"/>
      <c r="J162" s="119"/>
      <c r="K162" s="121"/>
      <c r="L162" s="119"/>
      <c r="M162" s="119"/>
    </row>
    <row r="163" spans="1:13" ht="15" customHeight="1" thickBot="1" x14ac:dyDescent="0.3">
      <c r="B163" s="120"/>
      <c r="C163" s="110" t="s">
        <v>36</v>
      </c>
      <c r="D163" s="185">
        <v>13</v>
      </c>
      <c r="E163" s="185"/>
      <c r="F163" s="185">
        <v>0.02</v>
      </c>
      <c r="G163" s="185">
        <f>D163-F163</f>
        <v>12.98</v>
      </c>
      <c r="H163" s="220"/>
      <c r="I163" s="119"/>
      <c r="J163" s="119"/>
      <c r="K163" s="121"/>
      <c r="L163" s="119"/>
      <c r="M163" s="119"/>
    </row>
    <row r="164" spans="1:13" ht="15" customHeight="1" thickBot="1" x14ac:dyDescent="0.3">
      <c r="A164" s="119"/>
      <c r="B164" s="120"/>
      <c r="C164" s="113" t="s">
        <v>52</v>
      </c>
      <c r="D164" s="186">
        <f>SUM(D161:D163)</f>
        <v>19514</v>
      </c>
      <c r="E164" s="186">
        <f>SUM(E161:E163)</f>
        <v>454.94510000000002</v>
      </c>
      <c r="F164" s="186">
        <f>SUM(F161:F163)</f>
        <v>18368.047149999999</v>
      </c>
      <c r="G164" s="186">
        <f>D164-F164</f>
        <v>1145.9528500000015</v>
      </c>
      <c r="H164" s="207">
        <f>SUM(H161:H163)</f>
        <v>16079.919</v>
      </c>
      <c r="I164" s="119"/>
      <c r="J164" s="119"/>
      <c r="K164" s="121"/>
      <c r="L164" s="119"/>
      <c r="M164" s="119"/>
    </row>
    <row r="165" spans="1:13" ht="21" customHeight="1" thickBot="1" x14ac:dyDescent="0.3">
      <c r="B165" s="153"/>
      <c r="C165" s="135" t="s">
        <v>65</v>
      </c>
      <c r="D165" s="155"/>
      <c r="E165" s="155"/>
      <c r="F165" s="208"/>
      <c r="G165" s="208"/>
      <c r="H165" s="208"/>
      <c r="I165" s="208"/>
      <c r="J165" s="155"/>
      <c r="K165" s="156"/>
      <c r="L165" s="119"/>
    </row>
    <row r="166" spans="1:13" s="40" customFormat="1" ht="30" customHeight="1" thickTop="1" thickBot="1" x14ac:dyDescent="0.35">
      <c r="A166" s="80"/>
      <c r="B166" s="49"/>
      <c r="C166" s="214" t="s">
        <v>43</v>
      </c>
      <c r="D166" s="49"/>
      <c r="E166" s="49"/>
      <c r="F166" s="49"/>
      <c r="G166" s="49"/>
      <c r="H166" s="49"/>
      <c r="I166" s="82"/>
      <c r="J166" s="82"/>
      <c r="K166" s="49"/>
      <c r="L166" s="82"/>
      <c r="M166" s="82"/>
    </row>
    <row r="167" spans="1:13" ht="17.100000000000001" customHeight="1" thickTop="1" x14ac:dyDescent="0.25">
      <c r="B167" s="439" t="s">
        <v>1</v>
      </c>
      <c r="C167" s="440"/>
      <c r="D167" s="440"/>
      <c r="E167" s="440"/>
      <c r="F167" s="440"/>
      <c r="G167" s="440"/>
      <c r="H167" s="440"/>
      <c r="I167" s="440"/>
      <c r="J167" s="440"/>
      <c r="K167" s="441"/>
      <c r="L167" s="190"/>
      <c r="M167" s="190"/>
    </row>
    <row r="168" spans="1:13" ht="6" customHeight="1" thickBot="1" x14ac:dyDescent="0.3">
      <c r="B168" s="50"/>
      <c r="C168" s="41"/>
      <c r="D168" s="41"/>
      <c r="E168" s="41"/>
      <c r="F168" s="41"/>
      <c r="G168" s="41"/>
      <c r="H168" s="41"/>
      <c r="I168" s="81"/>
      <c r="J168" s="81"/>
      <c r="K168" s="42"/>
      <c r="L168" s="81"/>
      <c r="M168" s="81"/>
    </row>
    <row r="169" spans="1:13" s="3" customFormat="1" ht="18" customHeight="1" thickBot="1" x14ac:dyDescent="0.3">
      <c r="B169" s="29"/>
      <c r="C169" s="442" t="s">
        <v>2</v>
      </c>
      <c r="D169" s="443"/>
      <c r="E169" s="442" t="s">
        <v>53</v>
      </c>
      <c r="F169" s="443"/>
      <c r="G169" s="442" t="s">
        <v>95</v>
      </c>
      <c r="H169" s="443"/>
      <c r="I169" s="84"/>
      <c r="J169" s="84"/>
      <c r="K169" s="30"/>
      <c r="L169" s="144"/>
      <c r="M169" s="144"/>
    </row>
    <row r="170" spans="1:13" ht="14.25" customHeight="1" x14ac:dyDescent="0.25">
      <c r="B170" s="50"/>
      <c r="C170" s="267" t="s">
        <v>54</v>
      </c>
      <c r="D170" s="277">
        <v>54382</v>
      </c>
      <c r="E170" s="278" t="s">
        <v>5</v>
      </c>
      <c r="F170" s="279">
        <v>40872</v>
      </c>
      <c r="G170" s="270" t="s">
        <v>12</v>
      </c>
      <c r="H170" s="102">
        <v>26187</v>
      </c>
      <c r="I170" s="84"/>
      <c r="J170" s="84"/>
      <c r="K170" s="31"/>
      <c r="L170" s="151"/>
      <c r="M170" s="151"/>
    </row>
    <row r="171" spans="1:13" ht="14.25" customHeight="1" x14ac:dyDescent="0.25">
      <c r="B171" s="50"/>
      <c r="C171" s="270" t="s">
        <v>44</v>
      </c>
      <c r="D171" s="280">
        <v>51031</v>
      </c>
      <c r="E171" s="281" t="s">
        <v>45</v>
      </c>
      <c r="F171" s="282">
        <v>8000</v>
      </c>
      <c r="G171" s="270" t="s">
        <v>11</v>
      </c>
      <c r="H171" s="102">
        <v>6816</v>
      </c>
      <c r="I171" s="84"/>
      <c r="J171" s="84"/>
      <c r="K171" s="31"/>
      <c r="L171" s="151"/>
      <c r="M171" s="151"/>
    </row>
    <row r="172" spans="1:13" ht="14.25" customHeight="1" x14ac:dyDescent="0.25">
      <c r="B172" s="50"/>
      <c r="C172" s="270"/>
      <c r="D172" s="280"/>
      <c r="E172" s="281" t="s">
        <v>38</v>
      </c>
      <c r="F172" s="282">
        <v>5500</v>
      </c>
      <c r="G172" s="270" t="s">
        <v>46</v>
      </c>
      <c r="H172" s="102">
        <v>6060</v>
      </c>
      <c r="I172" s="84"/>
      <c r="J172" s="84"/>
      <c r="K172" s="52"/>
      <c r="L172" s="191"/>
      <c r="M172" s="191"/>
    </row>
    <row r="173" spans="1:13" ht="14.1" customHeight="1" thickBot="1" x14ac:dyDescent="0.3">
      <c r="B173" s="50"/>
      <c r="C173" s="270"/>
      <c r="D173" s="280"/>
      <c r="E173" s="281"/>
      <c r="F173" s="282"/>
      <c r="G173" s="270" t="s">
        <v>47</v>
      </c>
      <c r="H173" s="102">
        <v>1811</v>
      </c>
      <c r="I173" s="84"/>
      <c r="J173" s="84"/>
      <c r="K173" s="52"/>
      <c r="L173" s="191"/>
      <c r="M173" s="191"/>
    </row>
    <row r="174" spans="1:13" ht="14.1" customHeight="1" thickBot="1" x14ac:dyDescent="0.3">
      <c r="B174" s="50"/>
      <c r="C174" s="53" t="s">
        <v>31</v>
      </c>
      <c r="D174" s="283">
        <f>SUM(D170:D173)</f>
        <v>105413</v>
      </c>
      <c r="E174" s="284" t="s">
        <v>56</v>
      </c>
      <c r="F174" s="283">
        <f>SUM(F170:F173)</f>
        <v>54372</v>
      </c>
      <c r="G174" s="53" t="s">
        <v>5</v>
      </c>
      <c r="H174" s="103">
        <f>SUM(H170:H173)</f>
        <v>40874</v>
      </c>
      <c r="I174" s="84"/>
      <c r="J174" s="84"/>
      <c r="K174" s="52"/>
      <c r="L174" s="191"/>
      <c r="M174" s="191"/>
    </row>
    <row r="175" spans="1:13" ht="12.95" customHeight="1" x14ac:dyDescent="0.25">
      <c r="B175" s="50"/>
      <c r="C175" s="252" t="s">
        <v>72</v>
      </c>
      <c r="D175" s="281"/>
      <c r="E175" s="281"/>
      <c r="F175" s="281"/>
      <c r="G175" s="85"/>
      <c r="H175" s="51"/>
      <c r="I175" s="84"/>
      <c r="J175" s="84"/>
      <c r="K175" s="52"/>
      <c r="L175" s="191"/>
      <c r="M175" s="191"/>
    </row>
    <row r="176" spans="1:13" s="6" customFormat="1" ht="12.95" customHeight="1" x14ac:dyDescent="0.25">
      <c r="B176" s="50"/>
      <c r="C176" s="285" t="s">
        <v>71</v>
      </c>
      <c r="D176" s="85"/>
      <c r="E176" s="85"/>
      <c r="F176" s="85"/>
      <c r="G176" s="85"/>
      <c r="H176" s="41"/>
      <c r="I176" s="81"/>
      <c r="J176" s="81"/>
      <c r="K176" s="42"/>
      <c r="L176" s="81"/>
      <c r="M176" s="81"/>
    </row>
    <row r="177" spans="1:13" s="6" customFormat="1" ht="8.25" customHeight="1" thickBot="1" x14ac:dyDescent="0.3">
      <c r="B177" s="50"/>
      <c r="C177" s="54"/>
      <c r="D177" s="41"/>
      <c r="E177" s="41"/>
      <c r="F177" s="41"/>
      <c r="G177" s="41"/>
      <c r="H177" s="41"/>
      <c r="I177" s="81"/>
      <c r="J177" s="81"/>
      <c r="K177" s="42"/>
      <c r="L177" s="81"/>
      <c r="M177" s="81"/>
    </row>
    <row r="178" spans="1:13" ht="18" customHeight="1" x14ac:dyDescent="0.25">
      <c r="B178" s="444" t="s">
        <v>8</v>
      </c>
      <c r="C178" s="445"/>
      <c r="D178" s="445"/>
      <c r="E178" s="445"/>
      <c r="F178" s="445"/>
      <c r="G178" s="445"/>
      <c r="H178" s="445"/>
      <c r="I178" s="445"/>
      <c r="J178" s="445"/>
      <c r="K178" s="446"/>
      <c r="L178" s="190"/>
      <c r="M178" s="190"/>
    </row>
    <row r="179" spans="1:13" ht="4.5" customHeight="1" thickBot="1" x14ac:dyDescent="0.3">
      <c r="B179" s="55"/>
      <c r="C179" s="56"/>
      <c r="D179" s="56"/>
      <c r="E179" s="56"/>
      <c r="F179" s="56"/>
      <c r="G179" s="56"/>
      <c r="H179" s="56"/>
      <c r="I179" s="87"/>
      <c r="J179" s="87"/>
      <c r="K179" s="57"/>
      <c r="L179" s="87"/>
      <c r="M179" s="87"/>
    </row>
    <row r="180" spans="1:13" ht="63.75" thickBot="1" x14ac:dyDescent="0.3">
      <c r="A180" s="3"/>
      <c r="B180" s="29"/>
      <c r="C180" s="107" t="s">
        <v>19</v>
      </c>
      <c r="D180" s="179" t="s">
        <v>76</v>
      </c>
      <c r="E180" s="325" t="s">
        <v>73</v>
      </c>
      <c r="F180" s="325" t="str">
        <f>F20</f>
        <v>LANDET KVANTUM UKE 52</v>
      </c>
      <c r="G180" s="325" t="str">
        <f>G20</f>
        <v>LANDET KVANTUM T.O.M UKE 52</v>
      </c>
      <c r="H180" s="70" t="str">
        <f>I20</f>
        <v>RESTKVOTER</v>
      </c>
      <c r="I180" s="93" t="str">
        <f>J20</f>
        <v>LANDET KVANTUM T.O.M. UKE 52 2017</v>
      </c>
      <c r="J180" s="144"/>
      <c r="K180" s="30"/>
      <c r="L180" s="144"/>
      <c r="M180" s="144"/>
    </row>
    <row r="181" spans="1:13" ht="14.1" customHeight="1" x14ac:dyDescent="0.25">
      <c r="B181" s="50"/>
      <c r="C181" s="108" t="s">
        <v>16</v>
      </c>
      <c r="D181" s="225">
        <f t="shared" ref="D181:H181" si="8">D182+D183+D184+D185</f>
        <v>40874</v>
      </c>
      <c r="E181" s="303">
        <f>E182+E183+E184+E185</f>
        <v>44365</v>
      </c>
      <c r="F181" s="303">
        <f>F182+F183+F184+F185</f>
        <v>137.29560000000001</v>
      </c>
      <c r="G181" s="303">
        <f>G182+G183+G184+G185</f>
        <v>31269.668520000003</v>
      </c>
      <c r="H181" s="303">
        <f t="shared" si="8"/>
        <v>13095.331479999999</v>
      </c>
      <c r="I181" s="308">
        <f>I182+I183+I184+I185</f>
        <v>40577.284899999999</v>
      </c>
      <c r="J181" s="81"/>
      <c r="K181" s="58"/>
      <c r="L181" s="192"/>
      <c r="M181" s="192"/>
    </row>
    <row r="182" spans="1:13" ht="14.1" customHeight="1" x14ac:dyDescent="0.25">
      <c r="B182" s="50"/>
      <c r="C182" s="292" t="s">
        <v>12</v>
      </c>
      <c r="D182" s="286">
        <v>26187</v>
      </c>
      <c r="E182" s="301">
        <v>28809</v>
      </c>
      <c r="F182" s="301">
        <v>120.6846</v>
      </c>
      <c r="G182" s="301">
        <f>22993.49274-437</f>
        <v>22556.492740000002</v>
      </c>
      <c r="H182" s="301">
        <f t="shared" ref="H182:H187" si="9">E182-G182</f>
        <v>6252.5072599999985</v>
      </c>
      <c r="I182" s="306">
        <v>31537.790799999999</v>
      </c>
      <c r="J182" s="81"/>
      <c r="K182" s="58"/>
      <c r="L182" s="192"/>
      <c r="M182" s="192"/>
    </row>
    <row r="183" spans="1:13" ht="14.1" customHeight="1" x14ac:dyDescent="0.25">
      <c r="B183" s="50"/>
      <c r="C183" s="109" t="s">
        <v>11</v>
      </c>
      <c r="D183" s="286">
        <v>6816</v>
      </c>
      <c r="E183" s="301">
        <v>7498</v>
      </c>
      <c r="F183" s="301"/>
      <c r="G183" s="301">
        <f>2704.67566+437</f>
        <v>3141.6756599999999</v>
      </c>
      <c r="H183" s="301">
        <f t="shared" si="9"/>
        <v>4356.3243400000001</v>
      </c>
      <c r="I183" s="306">
        <v>2893.6214</v>
      </c>
      <c r="J183" s="81"/>
      <c r="K183" s="58"/>
      <c r="L183" s="192"/>
      <c r="M183" s="192"/>
    </row>
    <row r="184" spans="1:13" ht="14.1" customHeight="1" x14ac:dyDescent="0.25">
      <c r="B184" s="50"/>
      <c r="C184" s="109" t="s">
        <v>47</v>
      </c>
      <c r="D184" s="286">
        <v>1811</v>
      </c>
      <c r="E184" s="301">
        <v>1877</v>
      </c>
      <c r="F184" s="301">
        <v>15.7194</v>
      </c>
      <c r="G184" s="301">
        <v>2575.9132</v>
      </c>
      <c r="H184" s="301">
        <f t="shared" si="9"/>
        <v>-698.91319999999996</v>
      </c>
      <c r="I184" s="306">
        <v>2005.1048000000001</v>
      </c>
      <c r="J184" s="81"/>
      <c r="K184" s="58"/>
      <c r="L184" s="192"/>
      <c r="M184" s="192"/>
    </row>
    <row r="185" spans="1:13" ht="14.1" customHeight="1" thickBot="1" x14ac:dyDescent="0.3">
      <c r="B185" s="50"/>
      <c r="C185" s="381" t="s">
        <v>46</v>
      </c>
      <c r="D185" s="382">
        <v>6060</v>
      </c>
      <c r="E185" s="383">
        <v>6181</v>
      </c>
      <c r="F185" s="383">
        <v>0.89159999999999995</v>
      </c>
      <c r="G185" s="383">
        <v>2995.5869200000002</v>
      </c>
      <c r="H185" s="383">
        <f t="shared" si="9"/>
        <v>3185.4130799999998</v>
      </c>
      <c r="I185" s="384">
        <v>4140.7678999999998</v>
      </c>
      <c r="J185" s="81"/>
      <c r="K185" s="58"/>
      <c r="L185" s="192"/>
      <c r="M185" s="192"/>
    </row>
    <row r="186" spans="1:13" ht="14.1" customHeight="1" thickBot="1" x14ac:dyDescent="0.3">
      <c r="B186" s="50"/>
      <c r="C186" s="112" t="s">
        <v>38</v>
      </c>
      <c r="D186" s="287">
        <v>5500</v>
      </c>
      <c r="E186" s="305">
        <v>5500</v>
      </c>
      <c r="F186" s="305"/>
      <c r="G186" s="305">
        <v>2047.82376</v>
      </c>
      <c r="H186" s="305">
        <f t="shared" si="9"/>
        <v>3452.1762399999998</v>
      </c>
      <c r="I186" s="310">
        <v>2663.0545999999999</v>
      </c>
      <c r="J186" s="81"/>
      <c r="K186" s="58"/>
      <c r="L186" s="192"/>
      <c r="M186" s="192"/>
    </row>
    <row r="187" spans="1:13" ht="14.1" customHeight="1" x14ac:dyDescent="0.25">
      <c r="B187" s="50"/>
      <c r="C187" s="108" t="s">
        <v>17</v>
      </c>
      <c r="D187" s="225">
        <v>8000</v>
      </c>
      <c r="E187" s="303">
        <v>8000</v>
      </c>
      <c r="F187" s="303">
        <f>F188+F189</f>
        <v>157.03809999999999</v>
      </c>
      <c r="G187" s="303">
        <f>G188+G189</f>
        <v>5296.84004</v>
      </c>
      <c r="H187" s="303">
        <f t="shared" si="9"/>
        <v>2703.15996</v>
      </c>
      <c r="I187" s="308">
        <f>I188+I189</f>
        <v>5549.3236999999999</v>
      </c>
      <c r="J187" s="81"/>
      <c r="K187" s="58"/>
      <c r="L187" s="192"/>
      <c r="M187" s="192"/>
    </row>
    <row r="188" spans="1:13" ht="14.1" customHeight="1" x14ac:dyDescent="0.25">
      <c r="B188" s="50"/>
      <c r="C188" s="109" t="s">
        <v>29</v>
      </c>
      <c r="D188" s="286"/>
      <c r="E188" s="301"/>
      <c r="F188" s="301"/>
      <c r="G188" s="301">
        <v>1414.7273700000001</v>
      </c>
      <c r="H188" s="301"/>
      <c r="I188" s="306">
        <v>1770.5006000000001</v>
      </c>
      <c r="J188" s="81"/>
      <c r="K188" s="58"/>
      <c r="L188" s="192"/>
      <c r="M188" s="192"/>
    </row>
    <row r="189" spans="1:13" ht="14.1" customHeight="1" thickBot="1" x14ac:dyDescent="0.3">
      <c r="B189" s="50"/>
      <c r="C189" s="111" t="s">
        <v>48</v>
      </c>
      <c r="D189" s="227"/>
      <c r="E189" s="304"/>
      <c r="F189" s="304">
        <v>157.03809999999999</v>
      </c>
      <c r="G189" s="304">
        <v>3882.11267</v>
      </c>
      <c r="H189" s="304"/>
      <c r="I189" s="309">
        <v>3778.8231000000001</v>
      </c>
      <c r="J189" s="84"/>
      <c r="K189" s="58"/>
      <c r="L189" s="192"/>
      <c r="M189" s="192"/>
    </row>
    <row r="190" spans="1:13" ht="14.1" customHeight="1" thickBot="1" x14ac:dyDescent="0.3">
      <c r="B190" s="50"/>
      <c r="C190" s="112" t="s">
        <v>13</v>
      </c>
      <c r="D190" s="287">
        <v>10</v>
      </c>
      <c r="E190" s="305">
        <v>10</v>
      </c>
      <c r="F190" s="305"/>
      <c r="G190" s="305">
        <v>0.61560000000000004</v>
      </c>
      <c r="H190" s="305">
        <f>E190-G190</f>
        <v>9.3843999999999994</v>
      </c>
      <c r="I190" s="310">
        <v>0.59489999999999998</v>
      </c>
      <c r="J190" s="81"/>
      <c r="K190" s="58"/>
      <c r="L190" s="192"/>
      <c r="M190" s="192"/>
    </row>
    <row r="191" spans="1:13" ht="14.1" customHeight="1" thickBot="1" x14ac:dyDescent="0.3">
      <c r="B191" s="50"/>
      <c r="C191" s="110" t="s">
        <v>49</v>
      </c>
      <c r="D191" s="226"/>
      <c r="E191" s="302"/>
      <c r="F191" s="302">
        <v>4.4429999999999997E-2</v>
      </c>
      <c r="G191" s="302">
        <v>52.254730000000002</v>
      </c>
      <c r="H191" s="302">
        <f>E191-G191</f>
        <v>-52.254730000000002</v>
      </c>
      <c r="I191" s="307">
        <v>114.0219</v>
      </c>
      <c r="J191" s="81"/>
      <c r="K191" s="58"/>
      <c r="L191" s="192"/>
      <c r="M191" s="192"/>
    </row>
    <row r="192" spans="1:13" ht="16.5" thickBot="1" x14ac:dyDescent="0.3">
      <c r="A192" s="3"/>
      <c r="B192" s="29"/>
      <c r="C192" s="113" t="s">
        <v>9</v>
      </c>
      <c r="D192" s="187">
        <f>D181+D186+D187+D190</f>
        <v>54384</v>
      </c>
      <c r="E192" s="196">
        <f>E181+E186+E187+E190+E191</f>
        <v>57875</v>
      </c>
      <c r="F192" s="196">
        <f>F181+F186+F187+F190+F191</f>
        <v>294.37813</v>
      </c>
      <c r="G192" s="196">
        <f>G181+G186+G187+G190+G191</f>
        <v>38667.202650000007</v>
      </c>
      <c r="H192" s="200">
        <f>H181+H186+H187+H190+H191</f>
        <v>19207.797349999997</v>
      </c>
      <c r="I192" s="197">
        <f>I181+I186+I187+I190+I191</f>
        <v>48904.28</v>
      </c>
      <c r="J192" s="178"/>
      <c r="K192" s="58"/>
      <c r="L192" s="192"/>
      <c r="M192" s="192"/>
    </row>
    <row r="193" spans="1:13" ht="14.1" customHeight="1" x14ac:dyDescent="0.25">
      <c r="A193" s="3"/>
      <c r="B193" s="29"/>
      <c r="C193" s="364"/>
      <c r="D193" s="67"/>
      <c r="E193" s="67"/>
      <c r="F193" s="67"/>
      <c r="G193" s="67"/>
      <c r="H193" s="363"/>
      <c r="I193" s="363"/>
      <c r="J193" s="144"/>
      <c r="K193" s="30"/>
      <c r="L193" s="144"/>
      <c r="M193" s="144"/>
    </row>
    <row r="194" spans="1:13" ht="14.1" customHeight="1" thickBot="1" x14ac:dyDescent="0.3">
      <c r="B194" s="59"/>
      <c r="C194" s="68"/>
      <c r="D194" s="68"/>
      <c r="E194" s="68"/>
      <c r="F194" s="68"/>
      <c r="G194" s="68"/>
      <c r="H194" s="60"/>
      <c r="I194" s="60"/>
      <c r="J194" s="60"/>
      <c r="K194" s="61"/>
      <c r="L194" s="81"/>
      <c r="M194" s="81"/>
    </row>
    <row r="195" spans="1:13" ht="14.1" customHeight="1" thickTop="1" x14ac:dyDescent="0.25"/>
    <row r="196" spans="1:13" s="40" customFormat="1" ht="17.100000000000001" customHeight="1" thickBot="1" x14ac:dyDescent="0.3">
      <c r="A196" s="80"/>
      <c r="B196" s="82"/>
      <c r="C196" s="94" t="s">
        <v>50</v>
      </c>
      <c r="D196" s="82"/>
      <c r="E196" s="82"/>
      <c r="F196" s="82"/>
      <c r="G196" s="82"/>
      <c r="H196" s="82"/>
      <c r="I196" s="82"/>
      <c r="J196" s="82"/>
      <c r="K196" s="80"/>
      <c r="L196" s="80"/>
      <c r="M196" s="80"/>
    </row>
    <row r="197" spans="1:13" ht="17.100000000000001" customHeight="1" thickTop="1" x14ac:dyDescent="0.25">
      <c r="B197" s="439" t="s">
        <v>1</v>
      </c>
      <c r="C197" s="440"/>
      <c r="D197" s="440"/>
      <c r="E197" s="440"/>
      <c r="F197" s="440"/>
      <c r="G197" s="440"/>
      <c r="H197" s="440"/>
      <c r="I197" s="440"/>
      <c r="J197" s="440"/>
      <c r="K197" s="441"/>
      <c r="L197" s="190"/>
      <c r="M197" s="190"/>
    </row>
    <row r="198" spans="1:13" ht="6" customHeight="1" thickBot="1" x14ac:dyDescent="0.3">
      <c r="B198" s="83"/>
      <c r="C198" s="81"/>
      <c r="D198" s="81"/>
      <c r="E198" s="81"/>
      <c r="F198" s="81"/>
      <c r="G198" s="81"/>
      <c r="H198" s="81"/>
      <c r="I198" s="81"/>
      <c r="J198" s="81"/>
      <c r="K198" s="72"/>
      <c r="L198" s="119"/>
      <c r="M198" s="119"/>
    </row>
    <row r="199" spans="1:13" s="3" customFormat="1" ht="14.1" customHeight="1" thickBot="1" x14ac:dyDescent="0.3">
      <c r="B199" s="73"/>
      <c r="C199" s="442" t="s">
        <v>2</v>
      </c>
      <c r="D199" s="443"/>
      <c r="E199"/>
      <c r="F199"/>
      <c r="G199" s="74"/>
      <c r="H199" s="74"/>
      <c r="I199" s="74"/>
      <c r="J199" s="144"/>
      <c r="K199" s="69"/>
      <c r="L199" s="4"/>
      <c r="M199" s="4"/>
    </row>
    <row r="200" spans="1:13" ht="16.5" customHeight="1" x14ac:dyDescent="0.25">
      <c r="B200" s="75"/>
      <c r="C200" s="267" t="s">
        <v>79</v>
      </c>
      <c r="D200" s="268">
        <v>6955</v>
      </c>
      <c r="E200" s="288"/>
      <c r="F200" s="238"/>
      <c r="G200" s="76"/>
      <c r="H200" s="76"/>
      <c r="I200" s="76"/>
      <c r="J200" s="161"/>
      <c r="K200" s="72"/>
      <c r="L200" s="119"/>
      <c r="M200" s="119"/>
    </row>
    <row r="201" spans="1:13" ht="14.1" customHeight="1" x14ac:dyDescent="0.25">
      <c r="B201" s="75"/>
      <c r="C201" s="270" t="s">
        <v>44</v>
      </c>
      <c r="D201" s="271">
        <v>35819</v>
      </c>
      <c r="E201" s="288"/>
      <c r="F201" s="238"/>
      <c r="G201" s="76"/>
      <c r="H201" s="76"/>
      <c r="I201" s="76"/>
      <c r="J201" s="161"/>
      <c r="K201" s="72"/>
      <c r="L201" s="119"/>
      <c r="M201" s="119"/>
    </row>
    <row r="202" spans="1:13" ht="14.1" customHeight="1" thickBot="1" x14ac:dyDescent="0.3">
      <c r="B202" s="75"/>
      <c r="C202" s="272" t="s">
        <v>28</v>
      </c>
      <c r="D202" s="271">
        <v>382</v>
      </c>
      <c r="E202" s="288"/>
      <c r="F202" s="238"/>
      <c r="G202" s="89"/>
      <c r="H202" s="76"/>
      <c r="I202" s="76"/>
      <c r="J202" s="161"/>
      <c r="K202" s="72"/>
      <c r="L202" s="119"/>
      <c r="M202" s="119"/>
    </row>
    <row r="203" spans="1:13" ht="14.1" customHeight="1" thickBot="1" x14ac:dyDescent="0.3">
      <c r="B203" s="75"/>
      <c r="C203" s="273" t="s">
        <v>31</v>
      </c>
      <c r="D203" s="274">
        <f>SUM(D200:D202)</f>
        <v>43156</v>
      </c>
      <c r="E203" s="288"/>
      <c r="F203"/>
      <c r="G203" s="89"/>
      <c r="H203" s="76"/>
      <c r="I203" s="76"/>
      <c r="J203" s="161"/>
      <c r="K203" s="72"/>
      <c r="L203" s="119"/>
      <c r="M203" s="119"/>
    </row>
    <row r="204" spans="1:13" ht="13.5" customHeight="1" x14ac:dyDescent="0.25">
      <c r="B204" s="83"/>
      <c r="C204" s="289" t="s">
        <v>68</v>
      </c>
      <c r="D204" s="281"/>
      <c r="E204" s="281"/>
      <c r="F204" s="84"/>
      <c r="G204" s="85"/>
      <c r="H204" s="81"/>
      <c r="I204" s="81"/>
      <c r="J204" s="81"/>
      <c r="K204" s="72"/>
      <c r="L204" s="119"/>
      <c r="M204" s="119"/>
    </row>
    <row r="205" spans="1:13" ht="14.25" customHeight="1" x14ac:dyDescent="0.25">
      <c r="B205" s="83"/>
      <c r="C205" s="285" t="s">
        <v>61</v>
      </c>
      <c r="D205" s="85"/>
      <c r="E205" s="85"/>
      <c r="F205" s="81"/>
      <c r="G205" s="81"/>
      <c r="H205" s="81"/>
      <c r="I205" s="81"/>
      <c r="J205" s="81"/>
      <c r="K205" s="72"/>
      <c r="L205" s="119"/>
      <c r="M205" s="119"/>
    </row>
    <row r="206" spans="1:13" ht="14.1" customHeight="1" thickBot="1" x14ac:dyDescent="0.3">
      <c r="B206" s="83"/>
      <c r="D206" s="85"/>
      <c r="E206" s="85"/>
      <c r="F206" s="81"/>
      <c r="G206" s="81"/>
      <c r="H206" s="81"/>
      <c r="I206" s="81"/>
      <c r="J206" s="81"/>
      <c r="K206" s="72"/>
      <c r="L206" s="119"/>
      <c r="M206" s="119"/>
    </row>
    <row r="207" spans="1:13" ht="17.100000000000001" customHeight="1" x14ac:dyDescent="0.25">
      <c r="B207" s="444" t="s">
        <v>8</v>
      </c>
      <c r="C207" s="445"/>
      <c r="D207" s="445"/>
      <c r="E207" s="445"/>
      <c r="F207" s="445"/>
      <c r="G207" s="445"/>
      <c r="H207" s="445"/>
      <c r="I207" s="445"/>
      <c r="J207" s="445"/>
      <c r="K207" s="446"/>
      <c r="L207" s="190"/>
      <c r="M207" s="190"/>
    </row>
    <row r="208" spans="1:13" ht="6" customHeight="1" thickBot="1" x14ac:dyDescent="0.3">
      <c r="B208" s="86"/>
      <c r="C208" s="87"/>
      <c r="D208" s="87"/>
      <c r="E208" s="87"/>
      <c r="F208" s="87"/>
      <c r="G208" s="87"/>
      <c r="H208" s="87"/>
      <c r="I208" s="87"/>
      <c r="J208" s="87"/>
      <c r="K208" s="88"/>
      <c r="L208" s="87"/>
      <c r="M208" s="87"/>
    </row>
    <row r="209" spans="2:13" ht="62.25" customHeight="1" thickBot="1" x14ac:dyDescent="0.3">
      <c r="B209" s="83"/>
      <c r="C209" s="107" t="s">
        <v>19</v>
      </c>
      <c r="D209" s="114" t="s">
        <v>20</v>
      </c>
      <c r="E209" s="70" t="str">
        <f>F20</f>
        <v>LANDET KVANTUM UKE 52</v>
      </c>
      <c r="F209" s="70" t="str">
        <f>G20</f>
        <v>LANDET KVANTUM T.O.M UKE 52</v>
      </c>
      <c r="G209" s="70" t="str">
        <f>I20</f>
        <v>RESTKVOTER</v>
      </c>
      <c r="H209" s="93" t="str">
        <f>J20</f>
        <v>LANDET KVANTUM T.O.M. UKE 52 2017</v>
      </c>
      <c r="I209" s="81"/>
      <c r="J209" s="81"/>
      <c r="K209" s="72"/>
      <c r="L209" s="119"/>
      <c r="M209" s="119"/>
    </row>
    <row r="210" spans="2:13" s="98" customFormat="1" ht="14.1" customHeight="1" thickBot="1" x14ac:dyDescent="0.3">
      <c r="B210" s="95"/>
      <c r="C210" s="112" t="s">
        <v>51</v>
      </c>
      <c r="D210" s="184">
        <v>1600</v>
      </c>
      <c r="E210" s="184">
        <v>6.56616</v>
      </c>
      <c r="F210" s="184">
        <v>1073.7171699999999</v>
      </c>
      <c r="G210" s="184">
        <f>D210-F210</f>
        <v>526.2828300000001</v>
      </c>
      <c r="H210" s="219">
        <v>1018.3765</v>
      </c>
      <c r="I210" s="96"/>
      <c r="J210" s="163"/>
      <c r="K210" s="97"/>
      <c r="L210" s="101"/>
      <c r="M210" s="101"/>
    </row>
    <row r="211" spans="2:13" ht="14.1" customHeight="1" thickBot="1" x14ac:dyDescent="0.3">
      <c r="B211" s="83"/>
      <c r="C211" s="115" t="s">
        <v>45</v>
      </c>
      <c r="D211" s="184">
        <v>5305</v>
      </c>
      <c r="E211" s="184">
        <v>51.613840000000003</v>
      </c>
      <c r="F211" s="184">
        <v>4433.2131799999997</v>
      </c>
      <c r="G211" s="184">
        <f t="shared" ref="G211:G213" si="10">D211-F211</f>
        <v>871.78682000000026</v>
      </c>
      <c r="H211" s="219">
        <v>4413.1458000000002</v>
      </c>
      <c r="I211" s="106"/>
      <c r="J211" s="106"/>
      <c r="K211" s="72"/>
      <c r="L211" s="119"/>
      <c r="M211" s="119"/>
    </row>
    <row r="212" spans="2:13" s="98" customFormat="1" ht="14.1" customHeight="1" thickBot="1" x14ac:dyDescent="0.3">
      <c r="B212" s="95"/>
      <c r="C212" s="110" t="s">
        <v>36</v>
      </c>
      <c r="D212" s="185">
        <v>50</v>
      </c>
      <c r="E212" s="185"/>
      <c r="F212" s="185">
        <v>0.64959</v>
      </c>
      <c r="G212" s="184">
        <f t="shared" si="10"/>
        <v>49.350409999999997</v>
      </c>
      <c r="H212" s="219">
        <v>0.88270000000000004</v>
      </c>
      <c r="I212" s="96"/>
      <c r="J212" s="163"/>
      <c r="K212" s="97"/>
      <c r="L212" s="101"/>
      <c r="M212" s="101"/>
    </row>
    <row r="213" spans="2:13" s="98" customFormat="1" ht="14.1" customHeight="1" thickBot="1" x14ac:dyDescent="0.3">
      <c r="B213" s="90"/>
      <c r="C213" s="110" t="s">
        <v>55</v>
      </c>
      <c r="D213" s="185"/>
      <c r="E213" s="185"/>
      <c r="F213" s="185">
        <v>0.98834</v>
      </c>
      <c r="G213" s="184">
        <f t="shared" si="10"/>
        <v>-0.98834</v>
      </c>
      <c r="H213" s="219">
        <v>12.188800000000001</v>
      </c>
      <c r="I213" s="91"/>
      <c r="J213" s="91"/>
      <c r="K213" s="92"/>
      <c r="L213" s="193"/>
      <c r="M213" s="193"/>
    </row>
    <row r="214" spans="2:13" ht="16.5" thickBot="1" x14ac:dyDescent="0.3">
      <c r="B214" s="83"/>
      <c r="C214" s="113" t="s">
        <v>52</v>
      </c>
      <c r="D214" s="186">
        <f>D200</f>
        <v>6955</v>
      </c>
      <c r="E214" s="186">
        <f>SUM(E210:E213)</f>
        <v>58.180000000000007</v>
      </c>
      <c r="F214" s="186">
        <f>SUM(F210:F213)</f>
        <v>5508.5682799999995</v>
      </c>
      <c r="G214" s="186">
        <f>D214-F214</f>
        <v>1446.4317200000005</v>
      </c>
      <c r="H214" s="207">
        <f>H210+H211+H212+H213</f>
        <v>5444.5938000000006</v>
      </c>
      <c r="I214" s="81"/>
      <c r="J214" s="81"/>
      <c r="K214" s="72"/>
      <c r="L214" s="119"/>
      <c r="M214" s="119"/>
    </row>
    <row r="215" spans="2:13" s="71" customFormat="1" ht="9" customHeight="1" x14ac:dyDescent="0.25">
      <c r="B215" s="83"/>
      <c r="C215" s="66"/>
      <c r="D215" s="99"/>
      <c r="E215" s="99"/>
      <c r="F215" s="99"/>
      <c r="G215" s="99"/>
      <c r="H215" s="81"/>
      <c r="I215" s="81"/>
      <c r="J215" s="81"/>
      <c r="K215" s="72"/>
      <c r="L215" s="119"/>
      <c r="M215" s="119"/>
    </row>
    <row r="216" spans="2:13" ht="14.1" customHeight="1" thickBot="1" x14ac:dyDescent="0.3">
      <c r="B216" s="77"/>
      <c r="C216" s="78"/>
      <c r="D216" s="78"/>
      <c r="E216" s="78"/>
      <c r="F216" s="78"/>
      <c r="G216" s="105"/>
      <c r="H216" s="78"/>
      <c r="I216" s="78"/>
      <c r="J216" s="155"/>
      <c r="K216" s="79"/>
      <c r="L216" s="119"/>
      <c r="M216" s="119"/>
    </row>
    <row r="217" spans="2:13" ht="13.5" customHeight="1" thickTop="1" x14ac:dyDescent="0.25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ht="13.5" customHeight="1" x14ac:dyDescent="0.25">
      <c r="B218" s="119"/>
      <c r="C218" s="119"/>
      <c r="D218" s="119"/>
      <c r="E218" s="119"/>
      <c r="F218" s="119"/>
      <c r="G218" s="157"/>
      <c r="H218" s="119"/>
      <c r="I218" s="119"/>
      <c r="J218" s="119"/>
      <c r="K218" s="119"/>
      <c r="L218" s="119"/>
      <c r="M218" s="119"/>
    </row>
    <row r="219" spans="2:13" ht="13.5" customHeight="1" x14ac:dyDescent="0.25">
      <c r="B219" s="119"/>
      <c r="C219" s="119"/>
      <c r="D219" s="119"/>
      <c r="E219" s="119"/>
      <c r="F219" s="119"/>
      <c r="G219" s="157"/>
      <c r="H219" s="119"/>
      <c r="I219" s="119"/>
      <c r="J219" s="119"/>
      <c r="K219" s="119"/>
      <c r="L219" s="119"/>
      <c r="M219" s="119"/>
    </row>
    <row r="220" spans="2:13" ht="13.5" customHeight="1" x14ac:dyDescent="0.25">
      <c r="B220" s="119"/>
      <c r="C220" s="119"/>
      <c r="D220" s="119"/>
      <c r="E220" s="119"/>
      <c r="F220" s="119"/>
      <c r="G220" s="157"/>
      <c r="H220" s="119"/>
      <c r="I220" s="119"/>
      <c r="J220" s="119"/>
      <c r="K220" s="119"/>
      <c r="L220" s="119"/>
      <c r="M220" s="119"/>
    </row>
    <row r="221" spans="2:13" ht="13.5" customHeight="1" x14ac:dyDescent="0.25">
      <c r="B221" s="119"/>
      <c r="C221" s="119"/>
      <c r="D221" s="119"/>
      <c r="E221" s="119"/>
      <c r="F221" s="119"/>
      <c r="G221" s="157"/>
      <c r="H221" s="119"/>
      <c r="I221" s="119"/>
      <c r="J221" s="119"/>
      <c r="K221" s="119"/>
      <c r="L221" s="119"/>
      <c r="M221" s="119"/>
    </row>
    <row r="222" spans="2:13" ht="13.5" customHeight="1" x14ac:dyDescent="0.25">
      <c r="B222" s="119"/>
      <c r="C222" s="119"/>
      <c r="D222" s="119"/>
      <c r="E222" s="119"/>
      <c r="F222" s="119"/>
      <c r="G222" s="157"/>
      <c r="H222" s="119"/>
      <c r="I222" s="119"/>
      <c r="J222" s="119"/>
      <c r="K222" s="119"/>
      <c r="L222" s="119"/>
      <c r="M222" s="119"/>
    </row>
    <row r="223" spans="2:13" s="80" customFormat="1" ht="17.100000000000001" customHeight="1" thickBot="1" x14ac:dyDescent="0.3">
      <c r="B223" s="82"/>
      <c r="C223" s="94" t="s">
        <v>104</v>
      </c>
      <c r="D223" s="82"/>
      <c r="E223" s="82"/>
      <c r="F223" s="82"/>
      <c r="G223" s="82"/>
      <c r="H223" s="82"/>
      <c r="I223" s="82"/>
      <c r="J223" s="82"/>
    </row>
    <row r="224" spans="2:13" ht="17.100000000000001" customHeight="1" thickTop="1" x14ac:dyDescent="0.25">
      <c r="B224" s="439" t="s">
        <v>1</v>
      </c>
      <c r="C224" s="440"/>
      <c r="D224" s="440"/>
      <c r="E224" s="440"/>
      <c r="F224" s="440"/>
      <c r="G224" s="440"/>
      <c r="H224" s="440"/>
      <c r="I224" s="440"/>
      <c r="J224" s="440"/>
      <c r="K224" s="441"/>
      <c r="L224" s="190"/>
      <c r="M224" s="190"/>
    </row>
    <row r="225" spans="2:13" ht="6" customHeight="1" thickBot="1" x14ac:dyDescent="0.3">
      <c r="B225" s="83"/>
      <c r="C225" s="81"/>
      <c r="D225" s="81"/>
      <c r="E225" s="81"/>
      <c r="F225" s="81"/>
      <c r="G225" s="81"/>
      <c r="H225" s="81"/>
      <c r="I225" s="81"/>
      <c r="J225" s="81"/>
      <c r="K225" s="121"/>
      <c r="L225" s="119"/>
      <c r="M225" s="119"/>
    </row>
    <row r="226" spans="2:13" s="3" customFormat="1" ht="14.1" customHeight="1" thickBot="1" x14ac:dyDescent="0.3">
      <c r="B226" s="143"/>
      <c r="C226" s="442" t="s">
        <v>2</v>
      </c>
      <c r="D226" s="443"/>
      <c r="E226"/>
      <c r="F226"/>
      <c r="G226" s="144"/>
      <c r="H226" s="144"/>
      <c r="I226" s="144"/>
      <c r="J226" s="144"/>
      <c r="K226" s="117"/>
      <c r="L226" s="4"/>
      <c r="M226" s="4"/>
    </row>
    <row r="227" spans="2:13" ht="16.5" customHeight="1" x14ac:dyDescent="0.25">
      <c r="B227" s="146"/>
      <c r="C227" s="267" t="s">
        <v>79</v>
      </c>
      <c r="D227" s="268">
        <v>5239</v>
      </c>
      <c r="E227" s="288"/>
      <c r="F227" s="238"/>
      <c r="G227" s="161"/>
      <c r="H227" s="161"/>
      <c r="I227" s="161"/>
      <c r="J227" s="161"/>
      <c r="K227" s="121"/>
      <c r="L227" s="119"/>
      <c r="M227" s="119"/>
    </row>
    <row r="228" spans="2:13" ht="16.5" customHeight="1" x14ac:dyDescent="0.25">
      <c r="B228" s="146"/>
      <c r="C228" s="270" t="s">
        <v>44</v>
      </c>
      <c r="D228" s="271">
        <v>3538</v>
      </c>
      <c r="E228" s="288"/>
      <c r="F228" s="238"/>
      <c r="G228" s="161"/>
      <c r="H228" s="161"/>
      <c r="I228" s="161"/>
      <c r="J228" s="161"/>
      <c r="K228" s="121"/>
      <c r="L228" s="119"/>
      <c r="M228" s="119"/>
    </row>
    <row r="229" spans="2:13" ht="14.1" customHeight="1" thickBot="1" x14ac:dyDescent="0.3">
      <c r="B229" s="146"/>
      <c r="C229" s="270" t="s">
        <v>28</v>
      </c>
      <c r="D229" s="271">
        <v>123</v>
      </c>
      <c r="E229" s="288"/>
      <c r="F229" s="238"/>
      <c r="G229" s="161"/>
      <c r="H229" s="161"/>
      <c r="I229" s="161"/>
      <c r="J229" s="161"/>
      <c r="K229" s="121"/>
      <c r="L229" s="119"/>
      <c r="M229" s="119"/>
    </row>
    <row r="230" spans="2:13" ht="14.1" customHeight="1" thickBot="1" x14ac:dyDescent="0.3">
      <c r="B230" s="146"/>
      <c r="C230" s="273" t="s">
        <v>31</v>
      </c>
      <c r="D230" s="274">
        <v>8900</v>
      </c>
      <c r="E230" s="288"/>
      <c r="F230"/>
      <c r="G230" s="89"/>
      <c r="H230" s="161"/>
      <c r="I230" s="161"/>
      <c r="J230" s="161"/>
      <c r="K230" s="121"/>
      <c r="L230" s="119"/>
      <c r="M230" s="119"/>
    </row>
    <row r="231" spans="2:13" ht="13.5" customHeight="1" x14ac:dyDescent="0.25">
      <c r="B231" s="83"/>
      <c r="C231" s="289" t="s">
        <v>105</v>
      </c>
      <c r="D231" s="281"/>
      <c r="E231" s="281"/>
      <c r="F231" s="84"/>
      <c r="G231" s="85"/>
      <c r="H231" s="81"/>
      <c r="I231" s="81"/>
      <c r="J231" s="81"/>
      <c r="K231" s="121"/>
      <c r="L231" s="119"/>
      <c r="M231" s="119"/>
    </row>
    <row r="232" spans="2:13" ht="14.1" customHeight="1" thickBot="1" x14ac:dyDescent="0.3">
      <c r="B232" s="83"/>
      <c r="C232" s="71"/>
      <c r="D232" s="85"/>
      <c r="E232" s="85"/>
      <c r="F232" s="81"/>
      <c r="G232" s="81"/>
      <c r="H232" s="81"/>
      <c r="I232" s="81"/>
      <c r="J232" s="81"/>
      <c r="K232" s="121"/>
      <c r="L232" s="119"/>
      <c r="M232" s="119"/>
    </row>
    <row r="233" spans="2:13" ht="17.100000000000001" customHeight="1" x14ac:dyDescent="0.25">
      <c r="B233" s="444" t="s">
        <v>8</v>
      </c>
      <c r="C233" s="445"/>
      <c r="D233" s="445"/>
      <c r="E233" s="445"/>
      <c r="F233" s="445"/>
      <c r="G233" s="445"/>
      <c r="H233" s="445"/>
      <c r="I233" s="445"/>
      <c r="J233" s="445"/>
      <c r="K233" s="446"/>
      <c r="L233" s="190"/>
      <c r="M233" s="190"/>
    </row>
    <row r="234" spans="2:13" ht="6" customHeight="1" thickBot="1" x14ac:dyDescent="0.3">
      <c r="B234" s="86"/>
      <c r="C234" s="87"/>
      <c r="D234" s="87"/>
      <c r="E234" s="87"/>
      <c r="F234" s="87"/>
      <c r="G234" s="87"/>
      <c r="H234" s="87"/>
      <c r="I234" s="87"/>
      <c r="J234" s="87"/>
      <c r="K234" s="88"/>
      <c r="L234" s="87"/>
      <c r="M234" s="87"/>
    </row>
    <row r="235" spans="2:13" ht="62.25" customHeight="1" thickBot="1" x14ac:dyDescent="0.3">
      <c r="B235" s="83"/>
      <c r="C235" s="393" t="s">
        <v>106</v>
      </c>
      <c r="D235" s="394" t="s">
        <v>107</v>
      </c>
      <c r="E235" s="395" t="s">
        <v>108</v>
      </c>
      <c r="F235" s="396" t="str">
        <f>E209</f>
        <v>LANDET KVANTUM UKE 52</v>
      </c>
      <c r="G235" s="396" t="str">
        <f>F209</f>
        <v>LANDET KVANTUM T.O.M UKE 52</v>
      </c>
      <c r="H235" s="396" t="s">
        <v>63</v>
      </c>
      <c r="I235" s="397" t="str">
        <f>H209</f>
        <v>LANDET KVANTUM T.O.M. UKE 52 2017</v>
      </c>
      <c r="J235" s="81"/>
      <c r="K235" s="121"/>
      <c r="L235" s="119"/>
      <c r="M235" s="119"/>
    </row>
    <row r="236" spans="2:13" s="98" customFormat="1" ht="14.1" customHeight="1" thickBot="1" x14ac:dyDescent="0.3">
      <c r="B236" s="162"/>
      <c r="C236" s="112" t="s">
        <v>109</v>
      </c>
      <c r="D236" s="433">
        <v>2075</v>
      </c>
      <c r="E236" s="436">
        <v>2075</v>
      </c>
      <c r="F236" s="398">
        <f>SUM(F237:F238)</f>
        <v>0</v>
      </c>
      <c r="G236" s="398">
        <f>SUM(G237:G238)</f>
        <v>2085.4700000000003</v>
      </c>
      <c r="H236" s="436">
        <f>E236-G236</f>
        <v>-10.470000000000255</v>
      </c>
      <c r="I236" s="398">
        <f>SUM(I237:I238)</f>
        <v>2310.6381000000001</v>
      </c>
      <c r="J236" s="163"/>
      <c r="K236" s="97"/>
      <c r="L236" s="101"/>
      <c r="M236" s="101"/>
    </row>
    <row r="237" spans="2:13" s="98" customFormat="1" ht="14.1" customHeight="1" thickBot="1" x14ac:dyDescent="0.3">
      <c r="B237" s="162"/>
      <c r="C237" s="399" t="s">
        <v>84</v>
      </c>
      <c r="D237" s="434"/>
      <c r="E237" s="437"/>
      <c r="F237" s="400"/>
      <c r="G237" s="400">
        <v>1637.8375000000001</v>
      </c>
      <c r="H237" s="437"/>
      <c r="I237" s="400">
        <v>1842.7294999999999</v>
      </c>
      <c r="J237" s="163"/>
      <c r="K237" s="97"/>
      <c r="L237" s="101"/>
      <c r="M237" s="101"/>
    </row>
    <row r="238" spans="2:13" s="98" customFormat="1" ht="14.1" customHeight="1" thickBot="1" x14ac:dyDescent="0.3">
      <c r="B238" s="162"/>
      <c r="C238" s="399" t="s">
        <v>86</v>
      </c>
      <c r="D238" s="435"/>
      <c r="E238" s="438"/>
      <c r="F238" s="401"/>
      <c r="G238" s="401">
        <v>447.63249999999999</v>
      </c>
      <c r="H238" s="438"/>
      <c r="I238" s="401">
        <v>467.90859999999998</v>
      </c>
      <c r="J238" s="163"/>
      <c r="K238" s="97"/>
      <c r="L238" s="101"/>
      <c r="M238" s="101"/>
    </row>
    <row r="239" spans="2:13" s="98" customFormat="1" ht="14.1" customHeight="1" thickBot="1" x14ac:dyDescent="0.3">
      <c r="B239" s="162"/>
      <c r="C239" s="112" t="s">
        <v>110</v>
      </c>
      <c r="D239" s="433">
        <v>1582</v>
      </c>
      <c r="E239" s="436">
        <v>1888</v>
      </c>
      <c r="F239" s="398">
        <f>SUM(F240:F241)</f>
        <v>0</v>
      </c>
      <c r="G239" s="398">
        <f>SUM(G240:G241)</f>
        <v>1708.1179099999999</v>
      </c>
      <c r="H239" s="436">
        <f>E239-G239</f>
        <v>179.88209000000006</v>
      </c>
      <c r="I239" s="398">
        <f>SUM(I240:I241)</f>
        <v>1946.3164000000002</v>
      </c>
      <c r="J239" s="163"/>
      <c r="K239" s="97"/>
      <c r="L239" s="101"/>
      <c r="M239" s="101"/>
    </row>
    <row r="240" spans="2:13" s="98" customFormat="1" ht="14.1" customHeight="1" thickBot="1" x14ac:dyDescent="0.3">
      <c r="B240" s="162"/>
      <c r="C240" s="399" t="s">
        <v>84</v>
      </c>
      <c r="D240" s="434"/>
      <c r="E240" s="437"/>
      <c r="F240" s="400"/>
      <c r="G240" s="400">
        <v>1423.8739</v>
      </c>
      <c r="H240" s="437"/>
      <c r="I240" s="400">
        <v>1597.13</v>
      </c>
      <c r="J240" s="163"/>
      <c r="K240" s="97"/>
      <c r="L240" s="101"/>
      <c r="M240" s="101"/>
    </row>
    <row r="241" spans="2:13" s="98" customFormat="1" ht="14.1" customHeight="1" thickBot="1" x14ac:dyDescent="0.3">
      <c r="B241" s="162"/>
      <c r="C241" s="399" t="s">
        <v>86</v>
      </c>
      <c r="D241" s="435"/>
      <c r="E241" s="438"/>
      <c r="F241" s="401"/>
      <c r="G241" s="401">
        <v>284.24401</v>
      </c>
      <c r="H241" s="438"/>
      <c r="I241" s="401">
        <v>349.18639999999999</v>
      </c>
      <c r="J241" s="163"/>
      <c r="K241" s="97"/>
      <c r="L241" s="101"/>
      <c r="M241" s="101"/>
    </row>
    <row r="242" spans="2:13" s="98" customFormat="1" ht="14.1" customHeight="1" thickBot="1" x14ac:dyDescent="0.3">
      <c r="B242" s="162"/>
      <c r="C242" s="112" t="s">
        <v>111</v>
      </c>
      <c r="D242" s="433">
        <v>1582</v>
      </c>
      <c r="E242" s="436">
        <v>1888</v>
      </c>
      <c r="F242" s="398">
        <f>SUM(F243:F244)</f>
        <v>62.897000000000006</v>
      </c>
      <c r="G242" s="398">
        <f>SUM(G243:G244)</f>
        <v>1307.1300000000001</v>
      </c>
      <c r="H242" s="436">
        <f>E242-G242</f>
        <v>580.86999999999989</v>
      </c>
      <c r="I242" s="398">
        <f>SUM(I243:I244)</f>
        <v>1956.9583</v>
      </c>
      <c r="J242" s="163"/>
      <c r="K242" s="97"/>
      <c r="L242" s="101"/>
      <c r="M242" s="101"/>
    </row>
    <row r="243" spans="2:13" s="98" customFormat="1" ht="14.1" customHeight="1" thickBot="1" x14ac:dyDescent="0.3">
      <c r="B243" s="162"/>
      <c r="C243" s="399" t="s">
        <v>84</v>
      </c>
      <c r="D243" s="434"/>
      <c r="E243" s="437"/>
      <c r="F243" s="400">
        <f>46.2755+2.74</f>
        <v>49.015500000000003</v>
      </c>
      <c r="G243" s="400">
        <f>1026.888+34.045</f>
        <v>1060.933</v>
      </c>
      <c r="H243" s="437"/>
      <c r="I243" s="400">
        <v>1591.4485</v>
      </c>
      <c r="J243" s="163"/>
      <c r="K243" s="97"/>
      <c r="L243" s="101"/>
      <c r="M243" s="101"/>
    </row>
    <row r="244" spans="2:13" s="98" customFormat="1" ht="14.1" customHeight="1" thickBot="1" x14ac:dyDescent="0.3">
      <c r="B244" s="162"/>
      <c r="C244" s="399" t="s">
        <v>86</v>
      </c>
      <c r="D244" s="435"/>
      <c r="E244" s="438"/>
      <c r="F244" s="401">
        <v>13.881500000000001</v>
      </c>
      <c r="G244" s="401">
        <v>246.197</v>
      </c>
      <c r="H244" s="438"/>
      <c r="I244" s="401">
        <v>365.50979999999998</v>
      </c>
      <c r="J244" s="163"/>
      <c r="K244" s="97"/>
      <c r="L244" s="101"/>
      <c r="M244" s="101"/>
    </row>
    <row r="245" spans="2:13" s="98" customFormat="1" ht="14.1" customHeight="1" thickBot="1" x14ac:dyDescent="0.3">
      <c r="B245" s="90"/>
      <c r="C245" s="110" t="s">
        <v>55</v>
      </c>
      <c r="D245" s="432"/>
      <c r="E245" s="432"/>
      <c r="F245" s="220"/>
      <c r="G245" s="220">
        <v>0.157</v>
      </c>
      <c r="H245" s="430">
        <f>E245-G245</f>
        <v>-0.157</v>
      </c>
      <c r="I245" s="220">
        <f>13.389+0.608+0.766</f>
        <v>14.763</v>
      </c>
      <c r="J245" s="91"/>
      <c r="K245" s="92"/>
      <c r="L245" s="193"/>
      <c r="M245" s="193"/>
    </row>
    <row r="246" spans="2:13" ht="16.5" thickBot="1" x14ac:dyDescent="0.3">
      <c r="B246" s="83"/>
      <c r="C246" s="113" t="s">
        <v>52</v>
      </c>
      <c r="D246" s="431">
        <f>SUM(D236:D245)</f>
        <v>5239</v>
      </c>
      <c r="E246" s="431">
        <f t="shared" ref="E246:H246" si="11">SUM(E236:E245)</f>
        <v>5851</v>
      </c>
      <c r="F246" s="186">
        <f>F236+F239+F242+F245</f>
        <v>62.897000000000006</v>
      </c>
      <c r="G246" s="186">
        <f>G236+G239+G242+G245</f>
        <v>5100.8749100000005</v>
      </c>
      <c r="H246" s="431">
        <f t="shared" si="11"/>
        <v>750.12508999999966</v>
      </c>
      <c r="I246" s="186">
        <f>I236+I239+I242+I245</f>
        <v>6228.6758</v>
      </c>
      <c r="J246" s="81"/>
      <c r="K246" s="121"/>
      <c r="L246" s="119"/>
      <c r="M246" s="119"/>
    </row>
    <row r="247" spans="2:13" s="71" customFormat="1" ht="9" customHeight="1" x14ac:dyDescent="0.25">
      <c r="B247" s="83"/>
      <c r="C247" s="66"/>
      <c r="D247" s="99"/>
      <c r="E247" s="99"/>
      <c r="F247" s="99"/>
      <c r="G247" s="99"/>
      <c r="H247" s="81"/>
      <c r="I247" s="81"/>
      <c r="J247" s="81"/>
      <c r="K247" s="121"/>
      <c r="L247" s="119"/>
      <c r="M247" s="119"/>
    </row>
    <row r="248" spans="2:13" ht="14.1" customHeight="1" thickBot="1" x14ac:dyDescent="0.3">
      <c r="B248" s="153"/>
      <c r="C248" s="155"/>
      <c r="D248" s="155"/>
      <c r="E248" s="155"/>
      <c r="F248" s="155"/>
      <c r="G248" s="105"/>
      <c r="H248" s="105"/>
      <c r="I248" s="155"/>
      <c r="J248" s="155"/>
      <c r="K248" s="156"/>
      <c r="L248" s="119"/>
      <c r="M248" s="119"/>
    </row>
    <row r="249" spans="2:13" ht="20.25" customHeight="1" thickTop="1" x14ac:dyDescent="0.25"/>
    <row r="250" spans="2:13" ht="14.1" hidden="1" customHeight="1" x14ac:dyDescent="0.25"/>
    <row r="251" spans="2:13" ht="14.1" hidden="1" customHeight="1" x14ac:dyDescent="0.25"/>
    <row r="252" spans="2:13" ht="14.1" hidden="1" customHeight="1" x14ac:dyDescent="0.25">
      <c r="G252" s="65"/>
    </row>
    <row r="253" spans="2:13" ht="14.1" hidden="1" customHeight="1" x14ac:dyDescent="0.25">
      <c r="F253" s="65"/>
    </row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51:D151"/>
    <mergeCell ref="B207:K207"/>
    <mergeCell ref="C199:D199"/>
    <mergeCell ref="B197:K197"/>
    <mergeCell ref="C52:D52"/>
    <mergeCell ref="C169:D169"/>
    <mergeCell ref="E169:F169"/>
    <mergeCell ref="G169:H169"/>
    <mergeCell ref="B178:K178"/>
    <mergeCell ref="C110:D110"/>
    <mergeCell ref="E110:F110"/>
    <mergeCell ref="G110:H110"/>
    <mergeCell ref="B118:K118"/>
    <mergeCell ref="B167:K167"/>
    <mergeCell ref="D60:D61"/>
    <mergeCell ref="G60:G61"/>
    <mergeCell ref="B50:K50"/>
    <mergeCell ref="B108:K108"/>
    <mergeCell ref="B18:K18"/>
    <mergeCell ref="B75:K75"/>
    <mergeCell ref="C77:D77"/>
    <mergeCell ref="E77:F77"/>
    <mergeCell ref="G77:H77"/>
    <mergeCell ref="B85:K85"/>
    <mergeCell ref="B58:K58"/>
    <mergeCell ref="C70:E70"/>
    <mergeCell ref="C83:H84"/>
    <mergeCell ref="B2:K2"/>
    <mergeCell ref="B7:K7"/>
    <mergeCell ref="C9:D9"/>
    <mergeCell ref="E9:F9"/>
    <mergeCell ref="G9:H9"/>
    <mergeCell ref="B224:K224"/>
    <mergeCell ref="C226:D226"/>
    <mergeCell ref="B233:K233"/>
    <mergeCell ref="D236:D238"/>
    <mergeCell ref="E236:E238"/>
    <mergeCell ref="H236:H238"/>
    <mergeCell ref="D239:D241"/>
    <mergeCell ref="E239:E241"/>
    <mergeCell ref="H239:H241"/>
    <mergeCell ref="D242:D244"/>
    <mergeCell ref="E242:E244"/>
    <mergeCell ref="H242:H244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52
&amp;"-,Normal"&amp;11(iht. mottatte landings- og sluttsedler fra fiskesalgslagene; alle tallstørrelser i hele tonn)&amp;R29.01.2019
</oddHeader>
    <oddFooter>&amp;LFiskeridirektoratet&amp;CReguleringsseksjonen&amp;RKjetil Gramstad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UKE_52_2018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2018-11-06T13:50:25Z</cp:lastPrinted>
  <dcterms:created xsi:type="dcterms:W3CDTF">2011-07-06T12:13:20Z</dcterms:created>
  <dcterms:modified xsi:type="dcterms:W3CDTF">2019-01-29T13:02:10Z</dcterms:modified>
</cp:coreProperties>
</file>