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meik\Ukesstatistikk\Script\excel\output\2023\"/>
    </mc:Choice>
  </mc:AlternateContent>
  <xr:revisionPtr revIDLastSave="0" documentId="13_ncr:1_{C942D27E-7F2C-4BB7-A5BE-47DE07E645E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ukesstatistikk!$B$1:$J$333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H132" i="1" s="1"/>
  <c r="D331" i="1"/>
  <c r="H329" i="1"/>
  <c r="F329" i="1"/>
  <c r="E329" i="1"/>
  <c r="H328" i="1"/>
  <c r="F328" i="1"/>
  <c r="E328" i="1"/>
  <c r="H327" i="1"/>
  <c r="F327" i="1"/>
  <c r="G327" i="1" s="1"/>
  <c r="E327" i="1"/>
  <c r="H326" i="1"/>
  <c r="F326" i="1"/>
  <c r="E326" i="1"/>
  <c r="H325" i="1"/>
  <c r="F325" i="1"/>
  <c r="F324" i="1" s="1"/>
  <c r="G324" i="1" s="1"/>
  <c r="E325" i="1"/>
  <c r="H324" i="1"/>
  <c r="E324" i="1"/>
  <c r="H323" i="1"/>
  <c r="H321" i="1" s="1"/>
  <c r="H331" i="1" s="1"/>
  <c r="F323" i="1"/>
  <c r="E323" i="1"/>
  <c r="E321" i="1" s="1"/>
  <c r="E331" i="1" s="1"/>
  <c r="H322" i="1"/>
  <c r="F322" i="1"/>
  <c r="F321" i="1" s="1"/>
  <c r="E322" i="1"/>
  <c r="D299" i="1"/>
  <c r="I298" i="1"/>
  <c r="G298" i="1"/>
  <c r="H298" i="1" s="1"/>
  <c r="F298" i="1"/>
  <c r="I297" i="1"/>
  <c r="H297" i="1"/>
  <c r="G297" i="1"/>
  <c r="F297" i="1"/>
  <c r="I296" i="1"/>
  <c r="I294" i="1" s="1"/>
  <c r="G296" i="1"/>
  <c r="F296" i="1"/>
  <c r="F294" i="1" s="1"/>
  <c r="I295" i="1"/>
  <c r="G295" i="1"/>
  <c r="G294" i="1" s="1"/>
  <c r="H294" i="1" s="1"/>
  <c r="F295" i="1"/>
  <c r="I293" i="1"/>
  <c r="G293" i="1"/>
  <c r="H293" i="1" s="1"/>
  <c r="F293" i="1"/>
  <c r="I292" i="1"/>
  <c r="H292" i="1"/>
  <c r="G292" i="1"/>
  <c r="F292" i="1"/>
  <c r="I291" i="1"/>
  <c r="I288" i="1" s="1"/>
  <c r="G291" i="1"/>
  <c r="G288" i="1" s="1"/>
  <c r="F291" i="1"/>
  <c r="F288" i="1" s="1"/>
  <c r="F299" i="1" s="1"/>
  <c r="I290" i="1"/>
  <c r="H290" i="1"/>
  <c r="G290" i="1"/>
  <c r="F290" i="1"/>
  <c r="I289" i="1"/>
  <c r="G289" i="1"/>
  <c r="H289" i="1" s="1"/>
  <c r="F289" i="1"/>
  <c r="E288" i="1"/>
  <c r="E299" i="1" s="1"/>
  <c r="D288" i="1"/>
  <c r="H280" i="1"/>
  <c r="F280" i="1"/>
  <c r="D262" i="1"/>
  <c r="H261" i="1"/>
  <c r="F261" i="1"/>
  <c r="E261" i="1"/>
  <c r="H260" i="1"/>
  <c r="G260" i="1"/>
  <c r="F260" i="1"/>
  <c r="E260" i="1"/>
  <c r="H259" i="1"/>
  <c r="F259" i="1"/>
  <c r="G259" i="1" s="1"/>
  <c r="E259" i="1"/>
  <c r="H258" i="1"/>
  <c r="H262" i="1" s="1"/>
  <c r="G258" i="1"/>
  <c r="F258" i="1"/>
  <c r="F262" i="1" s="1"/>
  <c r="G262" i="1" s="1"/>
  <c r="E258" i="1"/>
  <c r="E262" i="1" s="1"/>
  <c r="D251" i="1"/>
  <c r="D207" i="1"/>
  <c r="G206" i="1"/>
  <c r="H205" i="1"/>
  <c r="G205" i="1"/>
  <c r="F205" i="1"/>
  <c r="E205" i="1"/>
  <c r="H204" i="1"/>
  <c r="H207" i="1" s="1"/>
  <c r="F204" i="1"/>
  <c r="F207" i="1" s="1"/>
  <c r="E204" i="1"/>
  <c r="E207" i="1" s="1"/>
  <c r="D184" i="1"/>
  <c r="H182" i="1"/>
  <c r="G182" i="1"/>
  <c r="F182" i="1"/>
  <c r="E182" i="1"/>
  <c r="H181" i="1"/>
  <c r="F181" i="1"/>
  <c r="E181" i="1"/>
  <c r="H180" i="1"/>
  <c r="F180" i="1"/>
  <c r="E180" i="1"/>
  <c r="H179" i="1"/>
  <c r="H178" i="1" s="1"/>
  <c r="F179" i="1"/>
  <c r="E179" i="1"/>
  <c r="E178" i="1" s="1"/>
  <c r="E184" i="1" s="1"/>
  <c r="G178" i="1"/>
  <c r="F178" i="1"/>
  <c r="H177" i="1"/>
  <c r="G177" i="1"/>
  <c r="F177" i="1"/>
  <c r="E177" i="1"/>
  <c r="H176" i="1"/>
  <c r="F176" i="1"/>
  <c r="G175" i="1" s="1"/>
  <c r="E176" i="1"/>
  <c r="H175" i="1"/>
  <c r="F175" i="1"/>
  <c r="F184" i="1" s="1"/>
  <c r="E175" i="1"/>
  <c r="D150" i="1"/>
  <c r="H147" i="1"/>
  <c r="H146" i="1"/>
  <c r="H145" i="1"/>
  <c r="F145" i="1"/>
  <c r="I144" i="1"/>
  <c r="H144" i="1"/>
  <c r="G144" i="1"/>
  <c r="F144" i="1"/>
  <c r="I143" i="1"/>
  <c r="G143" i="1"/>
  <c r="H143" i="1" s="1"/>
  <c r="F143" i="1"/>
  <c r="I142" i="1"/>
  <c r="H142" i="1"/>
  <c r="G142" i="1"/>
  <c r="F142" i="1"/>
  <c r="I141" i="1"/>
  <c r="G141" i="1"/>
  <c r="H141" i="1" s="1"/>
  <c r="F141" i="1"/>
  <c r="I140" i="1"/>
  <c r="H140" i="1"/>
  <c r="G140" i="1"/>
  <c r="F140" i="1"/>
  <c r="I139" i="1"/>
  <c r="G139" i="1"/>
  <c r="F139" i="1"/>
  <c r="E139" i="1"/>
  <c r="I138" i="1"/>
  <c r="H138" i="1"/>
  <c r="F138" i="1"/>
  <c r="I137" i="1"/>
  <c r="H137" i="1"/>
  <c r="F137" i="1"/>
  <c r="I136" i="1"/>
  <c r="H136" i="1"/>
  <c r="F136" i="1"/>
  <c r="I135" i="1"/>
  <c r="H135" i="1"/>
  <c r="H134" i="1" s="1"/>
  <c r="G134" i="1"/>
  <c r="G133" i="1" s="1"/>
  <c r="F135" i="1"/>
  <c r="I134" i="1"/>
  <c r="F134" i="1"/>
  <c r="E134" i="1"/>
  <c r="I133" i="1"/>
  <c r="F133" i="1"/>
  <c r="E133" i="1"/>
  <c r="I132" i="1"/>
  <c r="F132" i="1"/>
  <c r="H131" i="1"/>
  <c r="I130" i="1"/>
  <c r="H130" i="1"/>
  <c r="G130" i="1"/>
  <c r="F130" i="1"/>
  <c r="I129" i="1"/>
  <c r="I128" i="1" s="1"/>
  <c r="I150" i="1" s="1"/>
  <c r="G129" i="1"/>
  <c r="G128" i="1" s="1"/>
  <c r="F129" i="1"/>
  <c r="F128" i="1" s="1"/>
  <c r="F150" i="1" s="1"/>
  <c r="E128" i="1"/>
  <c r="E150" i="1" s="1"/>
  <c r="C126" i="1"/>
  <c r="D107" i="1"/>
  <c r="H106" i="1"/>
  <c r="H105" i="1"/>
  <c r="H104" i="1"/>
  <c r="F104" i="1"/>
  <c r="I103" i="1"/>
  <c r="G103" i="1"/>
  <c r="H103" i="1" s="1"/>
  <c r="F103" i="1"/>
  <c r="I102" i="1"/>
  <c r="H102" i="1"/>
  <c r="G102" i="1"/>
  <c r="F102" i="1"/>
  <c r="I101" i="1"/>
  <c r="G101" i="1"/>
  <c r="H101" i="1" s="1"/>
  <c r="F101" i="1"/>
  <c r="I100" i="1"/>
  <c r="H100" i="1"/>
  <c r="G100" i="1"/>
  <c r="F100" i="1"/>
  <c r="I99" i="1"/>
  <c r="G99" i="1"/>
  <c r="H99" i="1" s="1"/>
  <c r="F99" i="1"/>
  <c r="I98" i="1"/>
  <c r="H98" i="1"/>
  <c r="G98" i="1"/>
  <c r="F98" i="1"/>
  <c r="F96" i="1" s="1"/>
  <c r="F95" i="1" s="1"/>
  <c r="I97" i="1"/>
  <c r="G97" i="1"/>
  <c r="H97" i="1" s="1"/>
  <c r="F97" i="1"/>
  <c r="I96" i="1"/>
  <c r="I95" i="1" s="1"/>
  <c r="E96" i="1"/>
  <c r="E95" i="1"/>
  <c r="E107" i="1" s="1"/>
  <c r="I94" i="1"/>
  <c r="H94" i="1"/>
  <c r="G94" i="1"/>
  <c r="F94" i="1"/>
  <c r="I93" i="1"/>
  <c r="I92" i="1" s="1"/>
  <c r="G93" i="1"/>
  <c r="G92" i="1" s="1"/>
  <c r="F93" i="1"/>
  <c r="F92" i="1" s="1"/>
  <c r="C89" i="1"/>
  <c r="H85" i="1"/>
  <c r="F85" i="1"/>
  <c r="D85" i="1"/>
  <c r="G61" i="1"/>
  <c r="G60" i="1"/>
  <c r="H55" i="1"/>
  <c r="F55" i="1"/>
  <c r="G32" i="1" s="1"/>
  <c r="E55" i="1"/>
  <c r="D44" i="1"/>
  <c r="H43" i="1"/>
  <c r="H42" i="1"/>
  <c r="H41" i="1"/>
  <c r="H40" i="1"/>
  <c r="F40" i="1"/>
  <c r="I39" i="1"/>
  <c r="H39" i="1"/>
  <c r="G39" i="1"/>
  <c r="F39" i="1"/>
  <c r="I38" i="1"/>
  <c r="G38" i="1"/>
  <c r="H38" i="1" s="1"/>
  <c r="F38" i="1"/>
  <c r="I37" i="1"/>
  <c r="H37" i="1"/>
  <c r="G37" i="1"/>
  <c r="F37" i="1"/>
  <c r="I36" i="1"/>
  <c r="G36" i="1"/>
  <c r="H36" i="1" s="1"/>
  <c r="F36" i="1"/>
  <c r="I35" i="1"/>
  <c r="H35" i="1"/>
  <c r="G35" i="1"/>
  <c r="F35" i="1"/>
  <c r="F34" i="1" s="1"/>
  <c r="F26" i="1" s="1"/>
  <c r="I34" i="1"/>
  <c r="G34" i="1"/>
  <c r="E34" i="1"/>
  <c r="H34" i="1" s="1"/>
  <c r="I33" i="1"/>
  <c r="G33" i="1"/>
  <c r="H33" i="1" s="1"/>
  <c r="F33" i="1"/>
  <c r="I32" i="1"/>
  <c r="F32" i="1"/>
  <c r="I31" i="1"/>
  <c r="G31" i="1"/>
  <c r="H31" i="1" s="1"/>
  <c r="F31" i="1"/>
  <c r="I30" i="1"/>
  <c r="H30" i="1"/>
  <c r="G30" i="1"/>
  <c r="F30" i="1"/>
  <c r="I29" i="1"/>
  <c r="G29" i="1"/>
  <c r="H29" i="1" s="1"/>
  <c r="F29" i="1"/>
  <c r="I28" i="1"/>
  <c r="H28" i="1"/>
  <c r="G28" i="1"/>
  <c r="F28" i="1"/>
  <c r="I27" i="1"/>
  <c r="F27" i="1"/>
  <c r="E27" i="1"/>
  <c r="E26" i="1" s="1"/>
  <c r="I26" i="1"/>
  <c r="I25" i="1"/>
  <c r="I23" i="1" s="1"/>
  <c r="I44" i="1" s="1"/>
  <c r="H25" i="1"/>
  <c r="G25" i="1"/>
  <c r="F25" i="1"/>
  <c r="F23" i="1" s="1"/>
  <c r="I24" i="1"/>
  <c r="G24" i="1"/>
  <c r="H24" i="1" s="1"/>
  <c r="H23" i="1" s="1"/>
  <c r="F24" i="1"/>
  <c r="E23" i="1"/>
  <c r="H16" i="1"/>
  <c r="F16" i="1"/>
  <c r="D16" i="1"/>
  <c r="F44" i="1" l="1"/>
  <c r="H32" i="1"/>
  <c r="H27" i="1" s="1"/>
  <c r="H26" i="1" s="1"/>
  <c r="H44" i="1" s="1"/>
  <c r="G27" i="1"/>
  <c r="F107" i="1"/>
  <c r="G299" i="1"/>
  <c r="G321" i="1"/>
  <c r="G331" i="1" s="1"/>
  <c r="F331" i="1"/>
  <c r="I299" i="1"/>
  <c r="I107" i="1"/>
  <c r="G184" i="1"/>
  <c r="H96" i="1"/>
  <c r="H95" i="1" s="1"/>
  <c r="H139" i="1"/>
  <c r="H133" i="1" s="1"/>
  <c r="H184" i="1"/>
  <c r="G207" i="1"/>
  <c r="E44" i="1"/>
  <c r="G26" i="1"/>
  <c r="G150" i="1"/>
  <c r="G23" i="1"/>
  <c r="G44" i="1" s="1"/>
  <c r="G96" i="1"/>
  <c r="G95" i="1" s="1"/>
  <c r="G107" i="1" s="1"/>
  <c r="G204" i="1"/>
  <c r="H93" i="1"/>
  <c r="H92" i="1" s="1"/>
  <c r="H129" i="1"/>
  <c r="H128" i="1" s="1"/>
  <c r="H291" i="1"/>
  <c r="H288" i="1" s="1"/>
  <c r="H299" i="1" s="1"/>
  <c r="G55" i="1"/>
  <c r="H150" i="1" l="1"/>
  <c r="H107" i="1"/>
</calcChain>
</file>

<file path=xl/sharedStrings.xml><?xml version="1.0" encoding="utf-8"?>
<sst xmlns="http://schemas.openxmlformats.org/spreadsheetml/2006/main" count="328" uniqueCount="146">
  <si>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</si>
  <si>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</si>
  <si>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</si>
  <si>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</si>
  <si>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</si>
  <si>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</si>
  <si>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</si>
  <si>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</si>
  <si>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</si>
  <si>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</si>
  <si>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</si>
  <si>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</si>
  <si>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</si>
  <si>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</si>
  <si>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</si>
  <si>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</si>
  <si>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</si>
  <si>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</si>
  <si>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</si>
  <si>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</si>
  <si>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</si>
  <si>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</si>
  <si>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</si>
  <si>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</si>
  <si>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</si>
  <si>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</si>
  <si>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</si>
  <si>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</si>
  <si>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</si>
  <si>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</si>
  <si>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</si>
  <si>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</si>
  <si>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</si>
  <si>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</si>
  <si>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</si>
  <si>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</si>
  <si>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</si>
  <si>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</si>
  <si>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</si>
  <si>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</si>
  <si>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</si>
  <si>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</si>
  <si>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</si>
  <si>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</si>
  <si>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</si>
  <si>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</si>
  <si>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</si>
  <si>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</si>
  <si>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</si>
  <si>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</si>
  <si>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</si>
  <si>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</si>
  <si>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</si>
  <si>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</si>
  <si>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</si>
  <si>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</si>
  <si>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</si>
  <si>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</si>
  <si>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</si>
  <si>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</si>
  <si>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</si>
  <si>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</si>
  <si>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</si>
  <si>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</si>
  <si>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</si>
  <si>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</si>
  <si>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</si>
  <si>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</si>
  <si>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</si>
  <si>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</si>
  <si>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</si>
  <si>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</si>
  <si>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</si>
  <si>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</si>
  <si>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</si>
  <si>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</si>
  <si>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</si>
  <si>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</si>
  <si>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</si>
  <si>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</si>
  <si>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</si>
  <si>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</si>
  <si>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</si>
  <si>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</si>
  <si>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</si>
  <si>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</si>
  <si>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</si>
  <si>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</si>
  <si>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</si>
  <si>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</si>
  <si>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</si>
  <si>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</si>
  <si>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</si>
  <si>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</si>
  <si>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</si>
  <si>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</si>
  <si>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</si>
  <si>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</si>
  <si>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</si>
  <si>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</si>
  <si>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</si>
  <si>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</si>
  <si>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</si>
  <si>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</si>
  <si>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</si>
  <si>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</si>
  <si>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</si>
  <si>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</si>
  <si>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</si>
  <si>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</si>
  <si>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</si>
  <si>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</si>
  <si>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</si>
  <si>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</si>
  <si>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</si>
  <si>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</si>
  <si>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</si>
  <si>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</si>
  <si>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</si>
  <si>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</si>
  <si>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</si>
  <si>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380 tonn, er trukket ut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</si>
  <si>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</si>
  <si>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2022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</si>
  <si>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kun tildelt kvote for første halvår. Endelig kvote for 2023 fastsettes etter oppdatert kvoteråd fra ICES.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</si>
  <si>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26. juni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</si>
  <si>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</si>
  <si>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1 584 tonn avsatt til rekrutteringsordningen</t>
    </r>
  </si>
  <si>
    <t>4  Kvoter justert for kvotefleksibilitet, dvs. kvoteoverføringer fra 2022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</si>
  <si>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5 303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</si>
  <si>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</si>
  <si>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509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</si>
  <si>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2022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</si>
  <si>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</si>
  <si>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r>
      <t xml:space="preserve">1 </t>
    </r>
    <r>
      <rPr>
        <sz val="9"/>
        <rFont val="Calibri"/>
        <family val="2"/>
      </rPr>
      <t>Av den norske kvoten er det avsatt 42 tonn til forsknings- og undervisningsformål</t>
    </r>
  </si>
  <si>
    <r>
      <t xml:space="preserve">2 </t>
    </r>
    <r>
      <rPr>
        <sz val="9"/>
        <rFont val="Calibri"/>
        <family val="2"/>
      </rPr>
      <t>14 020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</si>
  <si>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2 738 tonn i Fiskevernsonen ved Svalbard og 3 940 tonn i internasjonalt farvann i Norskehavet. I tillegg er det avsatt 1 000 tonn snabeluer til EU-fartøys fiske. </t>
    </r>
  </si>
  <si>
    <t>FANGST AV TORSK, HYSE, SEI, BLÅKVEITE, SNABELUER OG REKER I 2023</t>
  </si>
  <si>
    <t>FANGST UKE 8</t>
  </si>
  <si>
    <t>FANGST T.O.M UKE 8</t>
  </si>
  <si>
    <t>RESTKVOTER UKE 8</t>
  </si>
  <si>
    <t>FANGST T.O.M UKE 8 2022</t>
  </si>
  <si>
    <r>
      <t>3</t>
    </r>
    <r>
      <rPr>
        <sz val="9"/>
        <color indexed="8"/>
        <rFont val="Calibri"/>
        <family val="2"/>
      </rPr>
      <t xml:space="preserve"> Det er fisket 253 tonn sei med konvensjonelle redskap som belastes notkvoten.</t>
    </r>
  </si>
  <si>
    <r>
      <t xml:space="preserve">3 </t>
    </r>
    <r>
      <rPr>
        <sz val="9"/>
        <color indexed="8"/>
        <rFont val="Calibri"/>
        <family val="2"/>
      </rPr>
      <t>Registrert rekreasjonsfiske utgjør 91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</si>
  <si>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6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</si>
  <si>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46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</si>
</sst>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6" fillId="2" borderId="33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8" fillId="0" borderId="8" xfId="0" applyNumberFormat="1" applyFont="1" applyBorder="1" applyAlignment="1">
      <alignment vertical="center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3" fillId="0" borderId="43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6" fillId="2" borderId="8" xfId="0" applyNumberFormat="1" applyFont="1" applyFill="1" applyBorder="1" applyAlignment="1">
      <alignment vertical="center" wrapText="1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5" fillId="0" borderId="0" xfId="0" applyFont="1"/>
    <xf numFmtId="0" fontId="26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28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5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518"/>
  <sheetViews>
    <sheetView showGridLines="0" tabSelected="1" showRuler="0" view="pageLayout" zoomScale="85" zoomScaleNormal="85" zoomScaleSheetLayoutView="100" zoomScalePageLayoutView="85" workbookViewId="0">
      <selection activeCell="F10" sqref="F10"/>
    </sheetView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7" t="s">
        <v>137</v>
      </c>
      <c r="C2" s="298"/>
      <c r="D2" s="298"/>
      <c r="E2" s="298"/>
      <c r="F2" s="298"/>
      <c r="G2" s="298"/>
      <c r="H2" s="298"/>
      <c r="I2" s="298"/>
      <c r="J2" s="299"/>
    </row>
    <row r="3" spans="1:10" ht="14.85" customHeight="1" x14ac:dyDescent="0.25">
      <c r="A3" s="1"/>
      <c r="B3" s="1"/>
      <c r="C3" s="1" t="s">
        <v>120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120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120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120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120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7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00"/>
      <c r="C9" s="301"/>
      <c r="D9" s="301"/>
      <c r="E9" s="301"/>
      <c r="F9" s="301"/>
      <c r="G9" s="301"/>
      <c r="H9" s="301"/>
      <c r="I9" s="301"/>
      <c r="J9" s="302"/>
    </row>
    <row r="10" spans="1:10" ht="12" customHeight="1" x14ac:dyDescent="0.25">
      <c r="A10" s="1"/>
      <c r="B10" s="252"/>
      <c r="C10" s="1"/>
      <c r="D10" s="1"/>
      <c r="E10" s="1"/>
      <c r="F10" s="1"/>
      <c r="G10" s="1"/>
      <c r="H10" s="1"/>
      <c r="I10" s="1"/>
      <c r="J10" s="122"/>
    </row>
    <row r="11" spans="1:10" ht="14.1" customHeight="1" x14ac:dyDescent="0.25">
      <c r="A11" s="159"/>
      <c r="B11" s="54"/>
      <c r="C11" s="294" t="s">
        <v>1</v>
      </c>
      <c r="D11" s="295"/>
      <c r="E11" s="294" t="s">
        <v>2</v>
      </c>
      <c r="F11" s="295"/>
      <c r="G11" s="294" t="s">
        <v>3</v>
      </c>
      <c r="H11" s="295"/>
      <c r="I11" s="181"/>
      <c r="J11" s="242"/>
    </row>
    <row r="12" spans="1:10" ht="14.1" customHeight="1" x14ac:dyDescent="0.25">
      <c r="A12" s="1"/>
      <c r="B12" s="252"/>
      <c r="C12" s="102"/>
      <c r="D12" s="102"/>
      <c r="E12" s="102" t="s">
        <v>4</v>
      </c>
      <c r="F12" s="116">
        <v>77193</v>
      </c>
      <c r="G12" s="117" t="s">
        <v>5</v>
      </c>
      <c r="H12" s="116">
        <v>21013</v>
      </c>
      <c r="I12" s="181"/>
      <c r="J12" s="242"/>
    </row>
    <row r="13" spans="1:10" ht="15.75" customHeight="1" x14ac:dyDescent="0.25">
      <c r="A13" s="1"/>
      <c r="B13" s="252"/>
      <c r="C13" s="117" t="s">
        <v>6</v>
      </c>
      <c r="D13" s="119">
        <v>260782</v>
      </c>
      <c r="E13" s="117" t="s">
        <v>7</v>
      </c>
      <c r="F13" s="119">
        <v>164035</v>
      </c>
      <c r="G13" s="117" t="s">
        <v>8</v>
      </c>
      <c r="H13" s="119">
        <v>117222</v>
      </c>
      <c r="I13" s="181"/>
      <c r="J13" s="242"/>
    </row>
    <row r="14" spans="1:10" ht="14.25" customHeight="1" x14ac:dyDescent="0.25">
      <c r="A14" s="1"/>
      <c r="B14" s="252"/>
      <c r="C14" s="117" t="s">
        <v>9</v>
      </c>
      <c r="D14" s="119">
        <v>248782</v>
      </c>
      <c r="E14" s="117" t="s">
        <v>10</v>
      </c>
      <c r="F14" s="119">
        <v>19554</v>
      </c>
      <c r="G14" s="117" t="s">
        <v>11</v>
      </c>
      <c r="H14" s="119">
        <v>14760</v>
      </c>
      <c r="I14" s="181"/>
      <c r="J14" s="242"/>
    </row>
    <row r="15" spans="1:10" ht="15.75" customHeight="1" x14ac:dyDescent="0.25">
      <c r="A15" s="1"/>
      <c r="B15" s="252"/>
      <c r="C15" s="117" t="s">
        <v>75</v>
      </c>
      <c r="D15" s="119">
        <v>78220</v>
      </c>
      <c r="E15" s="149"/>
      <c r="F15" s="169"/>
      <c r="G15" s="167" t="s">
        <v>12</v>
      </c>
      <c r="H15" s="289">
        <v>11040</v>
      </c>
      <c r="I15" s="181"/>
      <c r="J15" s="242"/>
    </row>
    <row r="16" spans="1:10" ht="14.1" customHeight="1" x14ac:dyDescent="0.25">
      <c r="A16" s="1"/>
      <c r="B16" s="252"/>
      <c r="C16" s="180" t="s">
        <v>13</v>
      </c>
      <c r="D16" s="192">
        <f>SUM(D13:D15)</f>
        <v>587784</v>
      </c>
      <c r="E16" s="180" t="s">
        <v>14</v>
      </c>
      <c r="F16" s="192">
        <f>SUM(F12:F15)</f>
        <v>260782</v>
      </c>
      <c r="G16" s="180" t="s">
        <v>7</v>
      </c>
      <c r="H16" s="192">
        <f>SUM(H12:H15)</f>
        <v>164035</v>
      </c>
      <c r="J16" s="242"/>
    </row>
    <row r="17" spans="1:10" ht="15" customHeight="1" x14ac:dyDescent="0.25">
      <c r="A17" s="101"/>
      <c r="B17" s="24"/>
      <c r="C17" s="101"/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39"/>
      <c r="C18" s="270"/>
      <c r="D18" s="270"/>
      <c r="E18" s="111"/>
      <c r="F18" s="270"/>
      <c r="G18" s="270"/>
      <c r="H18" s="270"/>
      <c r="I18" s="270"/>
      <c r="J18" s="186"/>
    </row>
    <row r="19" spans="1:10" ht="15" customHeight="1" x14ac:dyDescent="0.25">
      <c r="A19" s="1"/>
      <c r="B19" s="252"/>
      <c r="C19" s="256"/>
      <c r="D19" s="256"/>
      <c r="E19" s="273"/>
      <c r="F19" s="256"/>
      <c r="G19" s="256"/>
      <c r="H19" s="256"/>
      <c r="I19" s="256"/>
      <c r="J19" s="3"/>
    </row>
    <row r="20" spans="1:10" ht="15" customHeight="1" x14ac:dyDescent="0.25">
      <c r="A20" s="1"/>
      <c r="B20" s="252"/>
      <c r="C20" s="18" t="s">
        <v>15</v>
      </c>
      <c r="D20" s="256"/>
      <c r="E20" s="273"/>
      <c r="F20" s="256"/>
      <c r="G20" s="256"/>
      <c r="H20" s="204"/>
      <c r="I20" s="256"/>
      <c r="J20" s="3"/>
    </row>
    <row r="21" spans="1:10" ht="12" customHeight="1" x14ac:dyDescent="0.25">
      <c r="A21" s="1"/>
      <c r="B21" s="252"/>
      <c r="C21" s="31"/>
      <c r="D21" s="1"/>
      <c r="E21" s="1"/>
      <c r="F21" s="1"/>
      <c r="G21" s="1"/>
      <c r="H21" s="1"/>
      <c r="I21" s="1"/>
      <c r="J21" s="122"/>
    </row>
    <row r="22" spans="1:10" ht="61.5" customHeight="1" x14ac:dyDescent="0.25">
      <c r="A22" s="159"/>
      <c r="B22" s="54"/>
      <c r="C22" s="15" t="s">
        <v>16</v>
      </c>
      <c r="D22" s="113" t="s">
        <v>17</v>
      </c>
      <c r="E22" s="68" t="s">
        <v>18</v>
      </c>
      <c r="F22" s="68" t="s">
        <v>138</v>
      </c>
      <c r="G22" s="68" t="s">
        <v>139</v>
      </c>
      <c r="H22" s="68" t="s">
        <v>140</v>
      </c>
      <c r="I22" s="68" t="s">
        <v>141</v>
      </c>
      <c r="J22" s="278"/>
    </row>
    <row r="23" spans="1:10" ht="14.1" customHeight="1" x14ac:dyDescent="0.25">
      <c r="A23" s="1"/>
      <c r="B23" s="252"/>
      <c r="C23" s="16" t="s">
        <v>19</v>
      </c>
      <c r="D23" s="28">
        <v>77193</v>
      </c>
      <c r="E23" s="28">
        <f t="shared" ref="E23:I23" si="0">E25+E24</f>
        <v>84053</v>
      </c>
      <c r="F23" s="28">
        <f t="shared" si="0"/>
        <v>2938.3650000000002</v>
      </c>
      <c r="G23" s="28">
        <f t="shared" si="0"/>
        <v>17013.087800000001</v>
      </c>
      <c r="H23" s="11">
        <f t="shared" si="0"/>
        <v>67039.912199999992</v>
      </c>
      <c r="I23" s="11">
        <f t="shared" si="0"/>
        <v>25717.632840000002</v>
      </c>
      <c r="J23" s="242"/>
    </row>
    <row r="24" spans="1:10" ht="14.1" customHeight="1" x14ac:dyDescent="0.25">
      <c r="A24" s="1"/>
      <c r="B24" s="252"/>
      <c r="C24" s="47" t="s">
        <v>20</v>
      </c>
      <c r="D24" s="48">
        <v>76443</v>
      </c>
      <c r="E24" s="48">
        <v>83271</v>
      </c>
      <c r="F24" s="23">
        <f>2938.0635</f>
        <v>2938.0635000000002</v>
      </c>
      <c r="G24" s="23">
        <f>16962.0923</f>
        <v>16962.0923</v>
      </c>
      <c r="H24" s="23">
        <f>E24-G24</f>
        <v>66308.907699999996</v>
      </c>
      <c r="I24" s="23">
        <f>25669.30456</f>
        <v>25669.30456</v>
      </c>
      <c r="J24" s="242"/>
    </row>
    <row r="25" spans="1:10" ht="14.1" customHeight="1" x14ac:dyDescent="0.25">
      <c r="A25" s="1"/>
      <c r="B25" s="252"/>
      <c r="C25" s="50" t="s">
        <v>21</v>
      </c>
      <c r="D25" s="51">
        <v>750</v>
      </c>
      <c r="E25" s="51">
        <v>782</v>
      </c>
      <c r="F25" s="173">
        <f>0.3015</f>
        <v>0.30149999999999999</v>
      </c>
      <c r="G25" s="23">
        <f>50.9955</f>
        <v>50.9955</v>
      </c>
      <c r="H25" s="23">
        <f>E25-G25</f>
        <v>731.00450000000001</v>
      </c>
      <c r="I25" s="23">
        <f>48.32828</f>
        <v>48.328279999999999</v>
      </c>
      <c r="J25" s="242"/>
    </row>
    <row r="26" spans="1:10" ht="14.1" customHeight="1" x14ac:dyDescent="0.25">
      <c r="A26" s="1"/>
      <c r="B26" s="252"/>
      <c r="C26" s="16" t="s">
        <v>22</v>
      </c>
      <c r="D26" s="28">
        <v>169338</v>
      </c>
      <c r="E26" s="28">
        <f t="shared" ref="E26:I26" si="1">E34+E33+E27</f>
        <v>191675</v>
      </c>
      <c r="F26" s="28">
        <f t="shared" si="1"/>
        <v>9384.699779999999</v>
      </c>
      <c r="G26" s="11">
        <f t="shared" si="1"/>
        <v>38699.956700000002</v>
      </c>
      <c r="H26" s="11">
        <f t="shared" si="1"/>
        <v>152975.04330000002</v>
      </c>
      <c r="I26" s="11">
        <f t="shared" si="1"/>
        <v>54288.348360000004</v>
      </c>
      <c r="J26" s="242"/>
    </row>
    <row r="27" spans="1:10" ht="15" customHeight="1" x14ac:dyDescent="0.25">
      <c r="A27" s="53"/>
      <c r="B27" s="55"/>
      <c r="C27" s="59" t="s">
        <v>23</v>
      </c>
      <c r="D27" s="60">
        <v>132365</v>
      </c>
      <c r="E27" s="60">
        <f t="shared" ref="E27:I27" si="2">E28+E29+E30+E31+E32</f>
        <v>148041</v>
      </c>
      <c r="F27" s="134">
        <f>F28+F29+F30+F31+F32</f>
        <v>8446.4389699999992</v>
      </c>
      <c r="G27" s="134">
        <f t="shared" si="2"/>
        <v>30227.74611</v>
      </c>
      <c r="H27" s="134">
        <f t="shared" si="2"/>
        <v>117813.25389000001</v>
      </c>
      <c r="I27" s="134">
        <f t="shared" si="2"/>
        <v>45277.753370000006</v>
      </c>
      <c r="J27" s="242"/>
    </row>
    <row r="28" spans="1:10" ht="14.1" customHeight="1" x14ac:dyDescent="0.25">
      <c r="A28" s="199"/>
      <c r="B28" s="184"/>
      <c r="C28" s="64" t="s">
        <v>24</v>
      </c>
      <c r="D28" s="65">
        <v>31737</v>
      </c>
      <c r="E28" s="65">
        <v>38361</v>
      </c>
      <c r="F28" s="205">
        <f>1880.74008</f>
        <v>1880.74008</v>
      </c>
      <c r="G28" s="129">
        <f>6554.22695 - F57</f>
        <v>6554.2269500000002</v>
      </c>
      <c r="H28" s="129">
        <f t="shared" ref="H28:H40" si="3">E28-G28</f>
        <v>31806.77305</v>
      </c>
      <c r="I28" s="129">
        <f>9775.70917 - H57</f>
        <v>9775.7091700000001</v>
      </c>
      <c r="J28" s="67"/>
    </row>
    <row r="29" spans="1:10" ht="14.1" customHeight="1" x14ac:dyDescent="0.25">
      <c r="A29" s="199"/>
      <c r="B29" s="184"/>
      <c r="C29" s="64" t="s">
        <v>25</v>
      </c>
      <c r="D29" s="65">
        <v>35412</v>
      </c>
      <c r="E29" s="65">
        <v>39519</v>
      </c>
      <c r="F29" s="129">
        <f>2263.30782</f>
        <v>2263.30782</v>
      </c>
      <c r="G29" s="129">
        <f>9507.21468 - F58</f>
        <v>9507.2146799999991</v>
      </c>
      <c r="H29" s="129">
        <f t="shared" si="3"/>
        <v>30011.785320000003</v>
      </c>
      <c r="I29" s="129">
        <f>15776.74579 - H58</f>
        <v>15776.745790000001</v>
      </c>
      <c r="J29" s="67"/>
    </row>
    <row r="30" spans="1:10" ht="14.1" customHeight="1" x14ac:dyDescent="0.25">
      <c r="A30" s="199"/>
      <c r="B30" s="184"/>
      <c r="C30" s="64" t="s">
        <v>26</v>
      </c>
      <c r="D30" s="65">
        <v>32013</v>
      </c>
      <c r="E30" s="65">
        <v>36008</v>
      </c>
      <c r="F30" s="129">
        <f>2314.74203</f>
        <v>2314.7420299999999</v>
      </c>
      <c r="G30" s="129">
        <f>7280.44844 - F59</f>
        <v>7280.4484400000001</v>
      </c>
      <c r="H30" s="129">
        <f t="shared" si="3"/>
        <v>28727.55156</v>
      </c>
      <c r="I30" s="129">
        <f>11453.20238 - H59</f>
        <v>11453.202380000001</v>
      </c>
      <c r="J30" s="67"/>
    </row>
    <row r="31" spans="1:10" ht="14.1" customHeight="1" x14ac:dyDescent="0.25">
      <c r="A31" s="199"/>
      <c r="B31" s="184"/>
      <c r="C31" s="64" t="s">
        <v>27</v>
      </c>
      <c r="D31" s="65">
        <v>23363</v>
      </c>
      <c r="E31" s="65">
        <v>24489</v>
      </c>
      <c r="F31" s="129">
        <f>1987.64904</f>
        <v>1987.64904</v>
      </c>
      <c r="G31" s="129">
        <f>6885.85604 - F60</f>
        <v>6885.8560399999997</v>
      </c>
      <c r="H31" s="129">
        <f t="shared" si="3"/>
        <v>17603.143960000001</v>
      </c>
      <c r="I31" s="129">
        <f>8272.09603 - H60</f>
        <v>8272.0960300000006</v>
      </c>
      <c r="J31" s="67"/>
    </row>
    <row r="32" spans="1:10" ht="14.1" customHeight="1" x14ac:dyDescent="0.25">
      <c r="A32" s="199"/>
      <c r="B32" s="184"/>
      <c r="C32" s="64" t="s">
        <v>28</v>
      </c>
      <c r="D32" s="65">
        <v>9840</v>
      </c>
      <c r="E32" s="65">
        <v>9664</v>
      </c>
      <c r="F32" s="129">
        <f>E55</f>
        <v>0</v>
      </c>
      <c r="G32" s="129">
        <f>F55</f>
        <v>0</v>
      </c>
      <c r="H32" s="129">
        <f t="shared" si="3"/>
        <v>9664</v>
      </c>
      <c r="I32" s="129">
        <f>H55</f>
        <v>0</v>
      </c>
      <c r="J32" s="67"/>
    </row>
    <row r="33" spans="1:13" ht="14.1" customHeight="1" x14ac:dyDescent="0.25">
      <c r="A33" s="69"/>
      <c r="B33" s="55"/>
      <c r="C33" s="59" t="s">
        <v>29</v>
      </c>
      <c r="D33" s="60">
        <v>21013</v>
      </c>
      <c r="E33" s="60">
        <v>22831</v>
      </c>
      <c r="F33" s="134">
        <f>52.80209</f>
        <v>52.80209</v>
      </c>
      <c r="G33" s="134">
        <f>5695.50068</f>
        <v>5695.5006800000001</v>
      </c>
      <c r="H33" s="134">
        <f t="shared" si="3"/>
        <v>17135.499319999999</v>
      </c>
      <c r="I33" s="134">
        <f>6345.95641</f>
        <v>6345.9564099999998</v>
      </c>
      <c r="J33" s="67"/>
    </row>
    <row r="34" spans="1:13" ht="14.1" customHeight="1" x14ac:dyDescent="0.25">
      <c r="A34" s="69"/>
      <c r="B34" s="55"/>
      <c r="C34" s="59" t="s">
        <v>30</v>
      </c>
      <c r="D34" s="60">
        <v>15960</v>
      </c>
      <c r="E34" s="60">
        <f>E35+E36</f>
        <v>20803</v>
      </c>
      <c r="F34" s="134">
        <f>F35+F36</f>
        <v>885.45871999999997</v>
      </c>
      <c r="G34" s="134">
        <f>G35+G36</f>
        <v>2776.70991</v>
      </c>
      <c r="H34" s="134">
        <f t="shared" si="3"/>
        <v>18026.290089999999</v>
      </c>
      <c r="I34" s="134">
        <f>I35+I36</f>
        <v>2664.6385799999998</v>
      </c>
      <c r="J34" s="67"/>
    </row>
    <row r="35" spans="1:13" ht="14.1" customHeight="1" x14ac:dyDescent="0.25">
      <c r="A35" s="199"/>
      <c r="B35" s="184"/>
      <c r="C35" s="64" t="s">
        <v>31</v>
      </c>
      <c r="D35" s="65">
        <v>14760</v>
      </c>
      <c r="E35" s="65">
        <v>19603</v>
      </c>
      <c r="F35" s="129">
        <f>885.45872</f>
        <v>885.45871999999997</v>
      </c>
      <c r="G35" s="134">
        <f>2776.70991 - F61 - F62</f>
        <v>2776.70991</v>
      </c>
      <c r="H35" s="129">
        <f t="shared" si="3"/>
        <v>16826.290089999999</v>
      </c>
      <c r="I35" s="129">
        <f>2664.63858 - H61 - H62</f>
        <v>2664.6385799999998</v>
      </c>
      <c r="J35" s="67"/>
    </row>
    <row r="36" spans="1:13" ht="14.1" customHeight="1" x14ac:dyDescent="0.25">
      <c r="A36" s="199"/>
      <c r="B36" s="184"/>
      <c r="C36" s="71" t="s">
        <v>32</v>
      </c>
      <c r="D36" s="72">
        <v>1200</v>
      </c>
      <c r="E36" s="72">
        <v>1200</v>
      </c>
      <c r="F36" s="73">
        <f>E60</f>
        <v>0</v>
      </c>
      <c r="G36" s="73">
        <f>F60</f>
        <v>0</v>
      </c>
      <c r="H36" s="73">
        <f t="shared" si="3"/>
        <v>1200</v>
      </c>
      <c r="I36" s="73">
        <f>H60</f>
        <v>0</v>
      </c>
      <c r="J36" s="67"/>
    </row>
    <row r="37" spans="1:13" ht="15.75" customHeight="1" x14ac:dyDescent="0.25">
      <c r="A37" s="1"/>
      <c r="B37" s="252"/>
      <c r="C37" s="75" t="s">
        <v>33</v>
      </c>
      <c r="D37" s="145">
        <v>3000</v>
      </c>
      <c r="E37" s="145">
        <v>3000</v>
      </c>
      <c r="F37" s="141">
        <f>0</f>
        <v>0</v>
      </c>
      <c r="G37" s="141">
        <f>0</f>
        <v>0</v>
      </c>
      <c r="H37" s="141">
        <f t="shared" si="3"/>
        <v>3000</v>
      </c>
      <c r="I37" s="141">
        <f>0</f>
        <v>0</v>
      </c>
      <c r="J37" s="242"/>
    </row>
    <row r="38" spans="1:13" ht="14.1" customHeight="1" x14ac:dyDescent="0.25">
      <c r="A38" s="1"/>
      <c r="B38" s="252"/>
      <c r="C38" s="75" t="s">
        <v>34</v>
      </c>
      <c r="D38" s="145">
        <v>851</v>
      </c>
      <c r="E38" s="145">
        <v>851</v>
      </c>
      <c r="F38" s="100">
        <f>12.8275</f>
        <v>12.827500000000001</v>
      </c>
      <c r="G38" s="100">
        <f>60.32933</f>
        <v>60.329329999999999</v>
      </c>
      <c r="H38" s="100">
        <f t="shared" si="3"/>
        <v>790.67066999999997</v>
      </c>
      <c r="I38" s="100">
        <f>57.0097</f>
        <v>57.009700000000002</v>
      </c>
      <c r="J38" s="242"/>
    </row>
    <row r="39" spans="1:13" ht="17.25" customHeight="1" x14ac:dyDescent="0.25">
      <c r="A39" s="1"/>
      <c r="B39" s="252"/>
      <c r="C39" s="75" t="s">
        <v>35</v>
      </c>
      <c r="D39" s="145">
        <v>3000</v>
      </c>
      <c r="E39" s="145">
        <v>3048</v>
      </c>
      <c r="F39" s="100">
        <f>E61</f>
        <v>0</v>
      </c>
      <c r="G39" s="100">
        <f>F61</f>
        <v>0</v>
      </c>
      <c r="H39" s="100">
        <f t="shared" si="3"/>
        <v>3048</v>
      </c>
      <c r="I39" s="100">
        <f>H61</f>
        <v>0</v>
      </c>
      <c r="J39" s="242"/>
    </row>
    <row r="40" spans="1:13" ht="17.25" customHeight="1" x14ac:dyDescent="0.25">
      <c r="A40" s="1"/>
      <c r="B40" s="252"/>
      <c r="C40" s="75" t="s">
        <v>36</v>
      </c>
      <c r="D40" s="145">
        <v>7000</v>
      </c>
      <c r="E40" s="145">
        <v>7000</v>
      </c>
      <c r="F40" s="100">
        <f>27.10024</f>
        <v>27.100239999999999</v>
      </c>
      <c r="G40" s="100">
        <v>7000</v>
      </c>
      <c r="H40" s="100">
        <f t="shared" si="3"/>
        <v>0</v>
      </c>
      <c r="I40" s="100">
        <v>7000</v>
      </c>
      <c r="J40" s="242"/>
    </row>
    <row r="41" spans="1:13" ht="17.25" customHeight="1" x14ac:dyDescent="0.25">
      <c r="A41" s="1"/>
      <c r="B41" s="252"/>
      <c r="C41" s="75" t="s">
        <v>38</v>
      </c>
      <c r="D41" s="145">
        <v>300</v>
      </c>
      <c r="E41" s="145">
        <v>300</v>
      </c>
      <c r="F41" s="100"/>
      <c r="G41" s="100"/>
      <c r="H41" s="100">
        <f>E41-G41</f>
        <v>300</v>
      </c>
      <c r="I41" s="100"/>
      <c r="J41" s="242"/>
    </row>
    <row r="42" spans="1:13" ht="17.25" customHeight="1" x14ac:dyDescent="0.25">
      <c r="A42" s="1"/>
      <c r="B42" s="252"/>
      <c r="C42" s="75" t="s">
        <v>39</v>
      </c>
      <c r="D42" s="145">
        <v>100</v>
      </c>
      <c r="E42" s="145">
        <v>100</v>
      </c>
      <c r="F42" s="100"/>
      <c r="G42" s="100">
        <v>4.0000000000000001E-3</v>
      </c>
      <c r="H42" s="100">
        <f>E42-G42</f>
        <v>99.995999999999995</v>
      </c>
      <c r="I42" s="100"/>
      <c r="J42" s="242"/>
      <c r="M42" s="223"/>
    </row>
    <row r="43" spans="1:13" ht="14.1" customHeight="1" x14ac:dyDescent="0.25">
      <c r="A43" s="1"/>
      <c r="B43" s="252"/>
      <c r="C43" s="75" t="s">
        <v>40</v>
      </c>
      <c r="D43" s="145"/>
      <c r="E43" s="141"/>
      <c r="F43" s="100">
        <v>2.9999999999290594E-3</v>
      </c>
      <c r="G43" s="100">
        <v>79.557000000029802</v>
      </c>
      <c r="H43" s="100">
        <f>E43-G43</f>
        <v>-79.557000000029802</v>
      </c>
      <c r="I43" s="100">
        <v>120.93842999998014</v>
      </c>
      <c r="J43" s="242"/>
    </row>
    <row r="44" spans="1:13" ht="16.5" customHeight="1" x14ac:dyDescent="0.25">
      <c r="A44" s="1"/>
      <c r="B44" s="252"/>
      <c r="C44" s="76" t="s">
        <v>41</v>
      </c>
      <c r="D44" s="78">
        <f t="shared" ref="D44:I44" si="4">D23+D26+D37+D38+D39+D40+D41+D42+D43</f>
        <v>260782</v>
      </c>
      <c r="E44" s="78">
        <f t="shared" si="4"/>
        <v>290027</v>
      </c>
      <c r="F44" s="78">
        <f t="shared" si="4"/>
        <v>12362.995519999999</v>
      </c>
      <c r="G44" s="78">
        <f t="shared" si="4"/>
        <v>62852.934830000035</v>
      </c>
      <c r="H44" s="78">
        <f t="shared" si="4"/>
        <v>227174.06516999999</v>
      </c>
      <c r="I44" s="78">
        <f t="shared" si="4"/>
        <v>87183.929329999984</v>
      </c>
      <c r="J44" s="242"/>
    </row>
    <row r="45" spans="1:13" ht="14.1" customHeight="1" x14ac:dyDescent="0.25">
      <c r="A45" s="101"/>
      <c r="B45" s="24"/>
      <c r="C45" s="80" t="s">
        <v>129</v>
      </c>
      <c r="D45" s="256"/>
      <c r="E45" s="256"/>
      <c r="F45" s="82"/>
      <c r="G45" s="82"/>
      <c r="H45" s="226"/>
      <c r="I45" s="226"/>
      <c r="J45" s="83"/>
    </row>
    <row r="46" spans="1:13" ht="14.1" customHeight="1" x14ac:dyDescent="0.25">
      <c r="A46" s="101"/>
      <c r="B46" s="24"/>
      <c r="C46" s="84" t="s">
        <v>42</v>
      </c>
      <c r="D46" s="256"/>
      <c r="E46" s="256"/>
      <c r="F46" s="256"/>
      <c r="G46" s="82"/>
      <c r="H46" s="181"/>
      <c r="I46" s="181"/>
      <c r="J46" s="242"/>
    </row>
    <row r="47" spans="1:13" ht="14.1" customHeight="1" x14ac:dyDescent="0.25">
      <c r="A47" s="101"/>
      <c r="B47" s="24"/>
      <c r="C47" s="163" t="s">
        <v>143</v>
      </c>
      <c r="D47" s="256"/>
      <c r="E47" s="256"/>
      <c r="F47" s="256"/>
      <c r="G47" s="82"/>
      <c r="H47" s="181"/>
      <c r="I47" s="181"/>
      <c r="J47" s="122"/>
    </row>
    <row r="48" spans="1:13" ht="14.1" customHeight="1" x14ac:dyDescent="0.25">
      <c r="A48" s="101"/>
      <c r="B48" s="24"/>
      <c r="C48" s="163" t="s">
        <v>128</v>
      </c>
      <c r="D48" s="256"/>
      <c r="E48" s="256"/>
      <c r="F48" s="256"/>
      <c r="G48" s="256"/>
      <c r="H48" s="181"/>
      <c r="I48" s="181"/>
      <c r="J48" s="122"/>
    </row>
    <row r="49" spans="1:10" ht="14.1" customHeight="1" x14ac:dyDescent="0.25">
      <c r="A49" s="101"/>
      <c r="B49" s="24"/>
      <c r="C49" s="101" t="s">
        <v>43</v>
      </c>
      <c r="D49" s="256"/>
      <c r="E49" s="256"/>
      <c r="F49" s="256"/>
      <c r="G49" s="256"/>
      <c r="H49" s="181"/>
      <c r="I49" s="181"/>
      <c r="J49" s="122"/>
    </row>
    <row r="50" spans="1:10" ht="14.1" customHeight="1" x14ac:dyDescent="0.25">
      <c r="A50" s="101"/>
      <c r="B50" s="24"/>
      <c r="C50" s="101"/>
      <c r="D50" s="256"/>
      <c r="E50" s="256"/>
      <c r="F50" s="256"/>
      <c r="G50" s="256"/>
      <c r="H50" s="181"/>
      <c r="I50" s="181"/>
      <c r="J50" s="122"/>
    </row>
    <row r="51" spans="1:10" ht="20.25" customHeight="1" x14ac:dyDescent="0.25">
      <c r="A51" s="101"/>
      <c r="B51" s="239"/>
      <c r="C51" s="270"/>
      <c r="D51" s="270"/>
      <c r="E51" s="111"/>
      <c r="F51" s="270"/>
      <c r="G51" s="270"/>
      <c r="H51" s="270"/>
      <c r="I51" s="270"/>
      <c r="J51" s="186"/>
    </row>
    <row r="52" spans="1:10" ht="33" customHeight="1" x14ac:dyDescent="0.25">
      <c r="A52" s="101"/>
      <c r="B52" s="24"/>
      <c r="C52" s="290" t="s">
        <v>44</v>
      </c>
      <c r="D52" s="290"/>
      <c r="E52" s="290"/>
      <c r="F52" s="290"/>
      <c r="G52" s="290"/>
      <c r="H52" s="290"/>
      <c r="I52" s="85"/>
      <c r="J52" s="86"/>
    </row>
    <row r="53" spans="1:10" ht="7.5" customHeight="1" x14ac:dyDescent="0.25">
      <c r="A53" s="101"/>
      <c r="B53" s="24"/>
      <c r="C53" s="163"/>
      <c r="D53" s="256"/>
      <c r="E53" s="256"/>
      <c r="F53" s="256"/>
      <c r="G53" s="256"/>
      <c r="H53" s="181"/>
      <c r="I53" s="181"/>
      <c r="J53" s="122"/>
    </row>
    <row r="54" spans="1:10" ht="61.5" customHeight="1" x14ac:dyDescent="0.25">
      <c r="A54" s="101"/>
      <c r="B54" s="24"/>
      <c r="C54" s="88" t="s">
        <v>16</v>
      </c>
      <c r="D54" s="68" t="s">
        <v>45</v>
      </c>
      <c r="E54" s="68" t="s">
        <v>138</v>
      </c>
      <c r="F54" s="68" t="s">
        <v>139</v>
      </c>
      <c r="G54" s="68" t="s">
        <v>140</v>
      </c>
      <c r="H54" s="68" t="s">
        <v>141</v>
      </c>
      <c r="I54" s="256"/>
      <c r="J54" s="242"/>
    </row>
    <row r="55" spans="1:10" ht="14.1" customHeight="1" x14ac:dyDescent="0.25">
      <c r="A55" s="101"/>
      <c r="B55" s="24"/>
      <c r="C55" s="16" t="s">
        <v>46</v>
      </c>
      <c r="D55" s="291">
        <v>9840</v>
      </c>
      <c r="E55" s="11">
        <f>E59+E58+E57+E56</f>
        <v>0</v>
      </c>
      <c r="F55" s="11">
        <f>F59+F58+F57+F56</f>
        <v>0</v>
      </c>
      <c r="G55" s="291">
        <f>D55-F55</f>
        <v>9840</v>
      </c>
      <c r="H55" s="11">
        <f>H59+H58+H57+H56</f>
        <v>0</v>
      </c>
      <c r="I55" s="256"/>
      <c r="J55" s="242"/>
    </row>
    <row r="56" spans="1:10" ht="14.1" customHeight="1" x14ac:dyDescent="0.25">
      <c r="A56" s="101"/>
      <c r="B56" s="24"/>
      <c r="C56" s="64" t="s">
        <v>24</v>
      </c>
      <c r="D56" s="292"/>
      <c r="E56" s="129"/>
      <c r="F56" s="129"/>
      <c r="G56" s="292"/>
      <c r="H56" s="129"/>
      <c r="I56" s="256"/>
      <c r="J56" s="242"/>
    </row>
    <row r="57" spans="1:10" ht="14.1" customHeight="1" x14ac:dyDescent="0.25">
      <c r="A57" s="101"/>
      <c r="B57" s="24"/>
      <c r="C57" s="64" t="s">
        <v>25</v>
      </c>
      <c r="D57" s="292"/>
      <c r="E57" s="129"/>
      <c r="F57" s="129"/>
      <c r="G57" s="292"/>
      <c r="H57" s="129"/>
      <c r="I57" s="256"/>
      <c r="J57" s="242"/>
    </row>
    <row r="58" spans="1:10" ht="14.1" customHeight="1" x14ac:dyDescent="0.25">
      <c r="A58" s="101"/>
      <c r="B58" s="24"/>
      <c r="C58" s="64" t="s">
        <v>26</v>
      </c>
      <c r="D58" s="292"/>
      <c r="E58" s="129"/>
      <c r="F58" s="129"/>
      <c r="G58" s="292"/>
      <c r="H58" s="129"/>
      <c r="I58" s="256"/>
      <c r="J58" s="242"/>
    </row>
    <row r="59" spans="1:10" ht="14.1" customHeight="1" x14ac:dyDescent="0.25">
      <c r="A59" s="101"/>
      <c r="B59" s="24"/>
      <c r="C59" s="89" t="s">
        <v>27</v>
      </c>
      <c r="D59" s="293"/>
      <c r="E59" s="194"/>
      <c r="F59" s="194"/>
      <c r="G59" s="293"/>
      <c r="H59" s="194"/>
      <c r="I59" s="256"/>
      <c r="J59" s="242"/>
    </row>
    <row r="60" spans="1:10" ht="14.1" customHeight="1" x14ac:dyDescent="0.25">
      <c r="A60" s="101"/>
      <c r="B60" s="24"/>
      <c r="C60" s="91" t="s">
        <v>47</v>
      </c>
      <c r="D60" s="97">
        <v>1200</v>
      </c>
      <c r="E60" s="97"/>
      <c r="F60" s="97"/>
      <c r="G60" s="97">
        <f>D60-F60</f>
        <v>1200</v>
      </c>
      <c r="H60" s="97"/>
      <c r="I60" s="256"/>
      <c r="J60" s="242"/>
    </row>
    <row r="61" spans="1:10" ht="14.1" customHeight="1" x14ac:dyDescent="0.25">
      <c r="A61" s="101"/>
      <c r="B61" s="24"/>
      <c r="C61" s="144" t="s">
        <v>48</v>
      </c>
      <c r="D61" s="141">
        <v>3000</v>
      </c>
      <c r="E61" s="141"/>
      <c r="F61" s="141"/>
      <c r="G61" s="141">
        <f>D61-F61</f>
        <v>3000</v>
      </c>
      <c r="H61" s="141"/>
      <c r="I61" s="256"/>
      <c r="J61" s="242"/>
    </row>
    <row r="62" spans="1:10" ht="14.1" customHeight="1" x14ac:dyDescent="0.25">
      <c r="A62" s="101"/>
      <c r="B62" s="24"/>
      <c r="C62" s="80" t="s">
        <v>125</v>
      </c>
      <c r="D62" s="256"/>
      <c r="E62" s="256"/>
      <c r="F62" s="256"/>
      <c r="G62" s="256"/>
      <c r="H62" s="181"/>
      <c r="I62" s="181"/>
      <c r="J62" s="122"/>
    </row>
    <row r="63" spans="1:10" ht="14.1" customHeight="1" x14ac:dyDescent="0.25">
      <c r="A63" s="101"/>
      <c r="B63" s="24"/>
      <c r="C63" s="163"/>
      <c r="D63" s="256"/>
      <c r="E63" s="256"/>
      <c r="F63" s="256"/>
      <c r="G63" s="256"/>
      <c r="H63" s="181"/>
      <c r="I63" s="181"/>
      <c r="J63" s="122"/>
    </row>
    <row r="64" spans="1:10" ht="15" customHeight="1" x14ac:dyDescent="0.25">
      <c r="A64" s="101"/>
      <c r="B64" s="24"/>
      <c r="C64" s="163"/>
      <c r="D64" s="256"/>
      <c r="E64" s="256"/>
      <c r="F64" s="256"/>
      <c r="G64" s="256"/>
      <c r="H64" s="181"/>
      <c r="I64" s="181"/>
      <c r="J64" s="122"/>
    </row>
    <row r="65" spans="1:10" ht="12" customHeight="1" x14ac:dyDescent="0.25">
      <c r="A65" s="101"/>
      <c r="B65" s="94"/>
      <c r="C65" s="201"/>
      <c r="D65" s="61"/>
      <c r="E65" s="61"/>
      <c r="F65" s="61"/>
      <c r="G65" s="61"/>
      <c r="H65" s="108"/>
      <c r="I65" s="108"/>
      <c r="J65" s="120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6"/>
      <c r="D67" s="121"/>
      <c r="E67" s="121"/>
      <c r="F67" s="121"/>
      <c r="G67" s="121"/>
      <c r="H67" s="1"/>
      <c r="I67" s="1"/>
      <c r="J67" s="1"/>
    </row>
    <row r="68" spans="1:10" x14ac:dyDescent="0.25">
      <c r="B68" s="1" t="s">
        <v>120</v>
      </c>
      <c r="C68" s="286"/>
      <c r="D68" s="121"/>
      <c r="E68" s="121"/>
      <c r="F68" s="121"/>
      <c r="G68" s="121"/>
      <c r="H68" s="1"/>
      <c r="I68" s="1"/>
      <c r="J68" s="1"/>
    </row>
    <row r="78" spans="1:10" ht="17.100000000000001" customHeight="1" x14ac:dyDescent="0.25">
      <c r="B78" s="2"/>
      <c r="C78" s="217" t="s">
        <v>49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7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40"/>
      <c r="C80" s="156"/>
      <c r="D80" s="156"/>
      <c r="E80" s="156"/>
      <c r="F80" s="156"/>
      <c r="G80" s="156"/>
      <c r="H80" s="156"/>
      <c r="I80" s="156"/>
      <c r="J80" s="164"/>
    </row>
    <row r="81" spans="1:10" ht="16.5" customHeight="1" x14ac:dyDescent="0.25">
      <c r="B81" s="54"/>
      <c r="C81" s="294" t="s">
        <v>1</v>
      </c>
      <c r="D81" s="295"/>
      <c r="E81" s="294" t="s">
        <v>2</v>
      </c>
      <c r="F81" s="296"/>
      <c r="G81" s="294" t="s">
        <v>3</v>
      </c>
      <c r="H81" s="295"/>
      <c r="I81" s="181"/>
      <c r="J81" s="242"/>
    </row>
    <row r="82" spans="1:10" ht="15" customHeight="1" x14ac:dyDescent="0.25">
      <c r="B82" s="252"/>
      <c r="C82" s="117" t="s">
        <v>6</v>
      </c>
      <c r="D82" s="119">
        <v>84177</v>
      </c>
      <c r="E82" s="257" t="s">
        <v>4</v>
      </c>
      <c r="F82" s="116">
        <v>31131</v>
      </c>
      <c r="G82" s="193" t="s">
        <v>5</v>
      </c>
      <c r="H82" s="116">
        <v>9143</v>
      </c>
      <c r="I82" s="181"/>
      <c r="J82" s="242"/>
    </row>
    <row r="83" spans="1:10" ht="15" customHeight="1" x14ac:dyDescent="0.25">
      <c r="B83" s="252"/>
      <c r="C83" s="117" t="s">
        <v>9</v>
      </c>
      <c r="D83" s="119">
        <v>75177</v>
      </c>
      <c r="E83" s="246" t="s">
        <v>7</v>
      </c>
      <c r="F83" s="119">
        <v>50792</v>
      </c>
      <c r="G83" s="193" t="s">
        <v>8</v>
      </c>
      <c r="H83" s="119">
        <v>37586</v>
      </c>
      <c r="I83" s="181"/>
      <c r="J83" s="242"/>
    </row>
    <row r="84" spans="1:10" ht="14.1" customHeight="1" x14ac:dyDescent="0.25">
      <c r="B84" s="252"/>
      <c r="C84" s="117" t="s">
        <v>75</v>
      </c>
      <c r="D84" s="119">
        <v>10713</v>
      </c>
      <c r="E84" s="117" t="s">
        <v>10</v>
      </c>
      <c r="F84" s="119">
        <v>2254</v>
      </c>
      <c r="G84" s="193" t="s">
        <v>11</v>
      </c>
      <c r="H84" s="119">
        <v>4063</v>
      </c>
      <c r="I84" s="181"/>
      <c r="J84" s="242"/>
    </row>
    <row r="85" spans="1:10" ht="12" customHeight="1" x14ac:dyDescent="0.25">
      <c r="B85" s="252"/>
      <c r="C85" s="180" t="s">
        <v>50</v>
      </c>
      <c r="D85" s="192">
        <f>SUM(D82:D84)</f>
        <v>170067</v>
      </c>
      <c r="E85" s="180" t="s">
        <v>14</v>
      </c>
      <c r="F85" s="192">
        <f>SUM(F82:F84)</f>
        <v>84177</v>
      </c>
      <c r="G85" s="180" t="s">
        <v>7</v>
      </c>
      <c r="H85" s="192">
        <f>SUM(H82:H84)</f>
        <v>50792</v>
      </c>
      <c r="I85" s="181"/>
      <c r="J85" s="242"/>
    </row>
    <row r="86" spans="1:10" ht="14.25" customHeight="1" x14ac:dyDescent="0.25">
      <c r="A86" s="1"/>
      <c r="B86" s="252"/>
      <c r="C86" s="101"/>
      <c r="D86" s="218"/>
      <c r="E86" s="218"/>
      <c r="F86" s="218"/>
      <c r="G86" s="218"/>
      <c r="H86" s="218"/>
      <c r="I86" s="234"/>
      <c r="J86" s="122"/>
    </row>
    <row r="87" spans="1:10" ht="6" customHeight="1" x14ac:dyDescent="0.25">
      <c r="A87" s="1"/>
      <c r="B87" s="252"/>
      <c r="C87" s="98"/>
      <c r="D87" s="98"/>
      <c r="E87" s="98"/>
      <c r="F87" s="98"/>
      <c r="G87" s="98"/>
      <c r="H87" s="98"/>
      <c r="I87" s="234"/>
      <c r="J87" s="122"/>
    </row>
    <row r="88" spans="1:10" ht="14.1" customHeight="1" x14ac:dyDescent="0.25">
      <c r="A88" s="1"/>
      <c r="B88" s="135"/>
      <c r="C88" s="270"/>
      <c r="D88" s="111"/>
      <c r="E88" s="270"/>
      <c r="F88" s="270"/>
      <c r="G88" s="270"/>
      <c r="H88" s="270"/>
      <c r="I88" s="259"/>
      <c r="J88" s="186"/>
    </row>
    <row r="89" spans="1:10" ht="20.25" customHeight="1" x14ac:dyDescent="0.25">
      <c r="A89" s="1"/>
      <c r="B89" s="252"/>
      <c r="C89" s="18" t="str">
        <f>C20</f>
        <v>KVOTE- OG FANGSTOVERSIKT</v>
      </c>
      <c r="D89" s="98"/>
      <c r="E89" s="98"/>
      <c r="F89" s="98"/>
      <c r="G89" s="98"/>
      <c r="H89" s="98"/>
      <c r="I89" s="1"/>
      <c r="J89" s="122"/>
    </row>
    <row r="90" spans="1:10" ht="11.25" customHeight="1" x14ac:dyDescent="0.3">
      <c r="A90" s="1"/>
      <c r="B90" s="252"/>
      <c r="C90" s="288"/>
      <c r="D90" s="288"/>
      <c r="E90" s="288"/>
      <c r="F90" s="288"/>
      <c r="G90" s="288"/>
      <c r="H90" s="288"/>
      <c r="I90" s="288"/>
      <c r="J90" s="19"/>
    </row>
    <row r="91" spans="1:10" ht="54" customHeight="1" x14ac:dyDescent="0.25">
      <c r="A91" s="1"/>
      <c r="B91" s="252"/>
      <c r="C91" s="15" t="s">
        <v>16</v>
      </c>
      <c r="D91" s="113" t="s">
        <v>17</v>
      </c>
      <c r="E91" s="15" t="s">
        <v>51</v>
      </c>
      <c r="F91" s="15" t="s">
        <v>138</v>
      </c>
      <c r="G91" s="15" t="s">
        <v>139</v>
      </c>
      <c r="H91" s="15" t="s">
        <v>140</v>
      </c>
      <c r="I91" s="15" t="s">
        <v>141</v>
      </c>
      <c r="J91" s="122"/>
    </row>
    <row r="92" spans="1:10" ht="14.1" customHeight="1" x14ac:dyDescent="0.25">
      <c r="A92" s="1"/>
      <c r="B92" s="252"/>
      <c r="C92" s="32" t="s">
        <v>19</v>
      </c>
      <c r="D92" s="28">
        <v>33472</v>
      </c>
      <c r="E92" s="28">
        <v>36235</v>
      </c>
      <c r="F92" s="11">
        <f t="shared" ref="F92:I92" si="5">F94+F93</f>
        <v>625.03420000000006</v>
      </c>
      <c r="G92" s="11">
        <f t="shared" si="5"/>
        <v>2596.31052</v>
      </c>
      <c r="H92" s="11">
        <f t="shared" si="5"/>
        <v>33638.689480000001</v>
      </c>
      <c r="I92" s="11">
        <f t="shared" si="5"/>
        <v>6707.9785099999999</v>
      </c>
      <c r="J92" s="242"/>
    </row>
    <row r="93" spans="1:10" ht="15" customHeight="1" x14ac:dyDescent="0.25">
      <c r="A93" s="1"/>
      <c r="B93" s="252"/>
      <c r="C93" s="47" t="s">
        <v>20</v>
      </c>
      <c r="D93" s="48">
        <v>32722</v>
      </c>
      <c r="E93" s="48">
        <v>35423</v>
      </c>
      <c r="F93" s="23">
        <f>614.215</f>
        <v>614.21500000000003</v>
      </c>
      <c r="G93" s="23">
        <f>2561.99372</f>
        <v>2561.9937199999999</v>
      </c>
      <c r="H93" s="23">
        <f>E93-G93</f>
        <v>32861.006280000001</v>
      </c>
      <c r="I93" s="23">
        <f>6664.50382</f>
        <v>6664.5038199999999</v>
      </c>
      <c r="J93" s="242"/>
    </row>
    <row r="94" spans="1:10" ht="14.1" customHeight="1" x14ac:dyDescent="0.25">
      <c r="A94" s="1"/>
      <c r="B94" s="252"/>
      <c r="C94" s="66" t="s">
        <v>21</v>
      </c>
      <c r="D94" s="51">
        <v>750</v>
      </c>
      <c r="E94" s="51">
        <v>812</v>
      </c>
      <c r="F94" s="52">
        <f>10.8192</f>
        <v>10.8192</v>
      </c>
      <c r="G94" s="52">
        <f>34.3168</f>
        <v>34.316800000000001</v>
      </c>
      <c r="H94" s="52">
        <f>E94-G94</f>
        <v>777.68319999999994</v>
      </c>
      <c r="I94" s="52">
        <f>43.47469</f>
        <v>43.474690000000002</v>
      </c>
      <c r="J94" s="242"/>
    </row>
    <row r="95" spans="1:10" ht="15.75" customHeight="1" x14ac:dyDescent="0.25">
      <c r="A95" s="1"/>
      <c r="B95" s="54"/>
      <c r="C95" s="16" t="s">
        <v>22</v>
      </c>
      <c r="D95" s="28">
        <v>56489</v>
      </c>
      <c r="E95" s="28">
        <f t="shared" ref="E95:I95" si="6">E96+E101+E102</f>
        <v>62139</v>
      </c>
      <c r="F95" s="11">
        <f t="shared" si="6"/>
        <v>630.96428000000003</v>
      </c>
      <c r="G95" s="11">
        <f t="shared" si="6"/>
        <v>5615.4658799999997</v>
      </c>
      <c r="H95" s="11">
        <f t="shared" si="6"/>
        <v>56523.534119999997</v>
      </c>
      <c r="I95" s="11">
        <f t="shared" si="6"/>
        <v>7362.9766</v>
      </c>
      <c r="J95" s="242"/>
    </row>
    <row r="96" spans="1:10" ht="14.1" customHeight="1" x14ac:dyDescent="0.25">
      <c r="A96" s="1"/>
      <c r="B96" s="55"/>
      <c r="C96" s="59" t="s">
        <v>23</v>
      </c>
      <c r="D96" s="60">
        <v>42290</v>
      </c>
      <c r="E96" s="60">
        <f t="shared" ref="E96:I96" si="7">E97+E98+E99+E100</f>
        <v>46520</v>
      </c>
      <c r="F96" s="134">
        <f t="shared" si="7"/>
        <v>529.39982999999995</v>
      </c>
      <c r="G96" s="134">
        <f t="shared" si="7"/>
        <v>3300.5460900000003</v>
      </c>
      <c r="H96" s="134">
        <f t="shared" si="7"/>
        <v>43219.453909999997</v>
      </c>
      <c r="I96" s="134">
        <f t="shared" si="7"/>
        <v>4805.6826499999997</v>
      </c>
      <c r="J96" s="242"/>
    </row>
    <row r="97" spans="1:10" ht="14.1" customHeight="1" x14ac:dyDescent="0.25">
      <c r="A97" s="199"/>
      <c r="B97" s="184"/>
      <c r="C97" s="64" t="s">
        <v>24</v>
      </c>
      <c r="D97" s="65">
        <v>11327</v>
      </c>
      <c r="E97" s="65">
        <v>12460</v>
      </c>
      <c r="F97" s="129">
        <f>155.7247</f>
        <v>155.72470000000001</v>
      </c>
      <c r="G97" s="129">
        <f>988.61475</f>
        <v>988.61474999999996</v>
      </c>
      <c r="H97" s="129">
        <f t="shared" ref="H97:H104" si="8">E97-G97</f>
        <v>11471.385249999999</v>
      </c>
      <c r="I97" s="129">
        <f>1123.87705</f>
        <v>1123.8770500000001</v>
      </c>
      <c r="J97" s="242"/>
    </row>
    <row r="98" spans="1:10" ht="14.1" customHeight="1" x14ac:dyDescent="0.25">
      <c r="A98" s="199"/>
      <c r="B98" s="184"/>
      <c r="C98" s="64" t="s">
        <v>52</v>
      </c>
      <c r="D98" s="65">
        <v>12171</v>
      </c>
      <c r="E98" s="65">
        <v>13388</v>
      </c>
      <c r="F98" s="129">
        <f>154.07088</f>
        <v>154.07087999999999</v>
      </c>
      <c r="G98" s="129">
        <f>1213.194</f>
        <v>1213.194</v>
      </c>
      <c r="H98" s="129">
        <f t="shared" si="8"/>
        <v>12174.806</v>
      </c>
      <c r="I98" s="129">
        <f>1965.31481</f>
        <v>1965.3148100000001</v>
      </c>
      <c r="J98" s="242"/>
    </row>
    <row r="99" spans="1:10" ht="14.1" customHeight="1" x14ac:dyDescent="0.25">
      <c r="A99" s="199"/>
      <c r="B99" s="184"/>
      <c r="C99" s="64" t="s">
        <v>53</v>
      </c>
      <c r="D99" s="65">
        <v>11356</v>
      </c>
      <c r="E99" s="65">
        <v>12492</v>
      </c>
      <c r="F99" s="129">
        <f>135.92131</f>
        <v>135.92131000000001</v>
      </c>
      <c r="G99" s="129">
        <f>700.10853</f>
        <v>700.10852999999997</v>
      </c>
      <c r="H99" s="129">
        <f t="shared" si="8"/>
        <v>11791.89147</v>
      </c>
      <c r="I99" s="129">
        <f>1169.16293</f>
        <v>1169.16293</v>
      </c>
      <c r="J99" s="242"/>
    </row>
    <row r="100" spans="1:10" ht="14.1" customHeight="1" x14ac:dyDescent="0.25">
      <c r="A100" s="199"/>
      <c r="B100" s="184"/>
      <c r="C100" s="64" t="s">
        <v>27</v>
      </c>
      <c r="D100" s="65">
        <v>7436</v>
      </c>
      <c r="E100" s="65">
        <v>8180</v>
      </c>
      <c r="F100" s="129">
        <f>83.68294</f>
        <v>83.682940000000002</v>
      </c>
      <c r="G100" s="129">
        <f>398.62881</f>
        <v>398.62880999999999</v>
      </c>
      <c r="H100" s="129">
        <f t="shared" si="8"/>
        <v>7781.3711899999998</v>
      </c>
      <c r="I100" s="129">
        <f>547.32786</f>
        <v>547.32785999999999</v>
      </c>
      <c r="J100" s="242"/>
    </row>
    <row r="101" spans="1:10" ht="14.1" customHeight="1" x14ac:dyDescent="0.25">
      <c r="A101" s="199"/>
      <c r="B101" s="184"/>
      <c r="C101" s="59" t="s">
        <v>54</v>
      </c>
      <c r="D101" s="60">
        <v>9830</v>
      </c>
      <c r="E101" s="60">
        <v>10813</v>
      </c>
      <c r="F101" s="134">
        <f>6.32991</f>
        <v>6.3299099999999999</v>
      </c>
      <c r="G101" s="134">
        <f>1777.62507</f>
        <v>1777.6250700000001</v>
      </c>
      <c r="H101" s="134">
        <f t="shared" si="8"/>
        <v>9035.3749299999999</v>
      </c>
      <c r="I101" s="134">
        <f>2238.8574</f>
        <v>2238.8573999999999</v>
      </c>
      <c r="J101" s="242"/>
    </row>
    <row r="102" spans="1:10" ht="15.75" customHeight="1" x14ac:dyDescent="0.25">
      <c r="A102" s="1"/>
      <c r="B102" s="55"/>
      <c r="C102" s="38" t="s">
        <v>11</v>
      </c>
      <c r="D102" s="63">
        <v>4369</v>
      </c>
      <c r="E102" s="63">
        <v>4806</v>
      </c>
      <c r="F102" s="77">
        <f>95.23454</f>
        <v>95.234539999999996</v>
      </c>
      <c r="G102" s="77">
        <f>537.29472</f>
        <v>537.29471999999998</v>
      </c>
      <c r="H102" s="77">
        <f t="shared" si="8"/>
        <v>4268.7052800000001</v>
      </c>
      <c r="I102" s="77">
        <f>318.43655</f>
        <v>318.43655000000001</v>
      </c>
      <c r="J102" s="242"/>
    </row>
    <row r="103" spans="1:10" ht="15.75" customHeight="1" x14ac:dyDescent="0.25">
      <c r="A103" s="1"/>
      <c r="B103" s="55"/>
      <c r="C103" s="75" t="s">
        <v>34</v>
      </c>
      <c r="D103" s="92">
        <v>390</v>
      </c>
      <c r="E103" s="92">
        <v>390</v>
      </c>
      <c r="F103" s="100">
        <f>0.02822</f>
        <v>2.8219999999999999E-2</v>
      </c>
      <c r="G103" s="100">
        <f>0.29753</f>
        <v>0.29753000000000002</v>
      </c>
      <c r="H103" s="100">
        <f t="shared" si="8"/>
        <v>389.70247000000001</v>
      </c>
      <c r="I103" s="100">
        <f>7.11385</f>
        <v>7.1138500000000002</v>
      </c>
      <c r="J103" s="242"/>
    </row>
    <row r="104" spans="1:10" ht="18" customHeight="1" x14ac:dyDescent="0.25">
      <c r="A104" s="1"/>
      <c r="B104" s="252"/>
      <c r="C104" s="75" t="s">
        <v>55</v>
      </c>
      <c r="D104" s="145">
        <v>300</v>
      </c>
      <c r="E104" s="145">
        <v>300</v>
      </c>
      <c r="F104" s="141">
        <f>1.2968</f>
        <v>1.2968</v>
      </c>
      <c r="G104" s="141">
        <v>300</v>
      </c>
      <c r="H104" s="141">
        <f t="shared" si="8"/>
        <v>0</v>
      </c>
      <c r="I104" s="141">
        <v>300</v>
      </c>
      <c r="J104" s="242"/>
    </row>
    <row r="105" spans="1:10" ht="16.5" customHeight="1" x14ac:dyDescent="0.25">
      <c r="A105" s="1"/>
      <c r="B105" s="252"/>
      <c r="C105" s="95" t="s">
        <v>38</v>
      </c>
      <c r="D105" s="145">
        <v>50</v>
      </c>
      <c r="E105" s="145">
        <v>50</v>
      </c>
      <c r="F105" s="141"/>
      <c r="G105" s="141"/>
      <c r="H105" s="141">
        <f>E105-G105</f>
        <v>50</v>
      </c>
      <c r="I105" s="141"/>
      <c r="J105" s="242"/>
    </row>
    <row r="106" spans="1:10" ht="18" customHeight="1" x14ac:dyDescent="0.25">
      <c r="A106" s="1"/>
      <c r="B106" s="252"/>
      <c r="C106" s="95" t="s">
        <v>56</v>
      </c>
      <c r="D106" s="145"/>
      <c r="E106" s="141"/>
      <c r="F106" s="141">
        <v>0</v>
      </c>
      <c r="G106" s="141">
        <v>8.7677999999868916</v>
      </c>
      <c r="H106" s="141">
        <f>E106-G106</f>
        <v>-8.7677999999868916</v>
      </c>
      <c r="I106" s="141">
        <v>43.734779999998864</v>
      </c>
      <c r="J106" s="242"/>
    </row>
    <row r="107" spans="1:10" ht="16.5" customHeight="1" x14ac:dyDescent="0.25">
      <c r="A107" s="1"/>
      <c r="B107" s="252"/>
      <c r="C107" s="76" t="s">
        <v>41</v>
      </c>
      <c r="D107" s="78">
        <f>D92+D95+D103+D104+D105+D106</f>
        <v>90701</v>
      </c>
      <c r="E107" s="78">
        <f t="shared" ref="E107:I107" si="9">E92+E95+E103+E104+E105+E106</f>
        <v>99114</v>
      </c>
      <c r="F107" s="78">
        <f t="shared" si="9"/>
        <v>1257.3235000000002</v>
      </c>
      <c r="G107" s="78">
        <f t="shared" si="9"/>
        <v>8520.8417299999855</v>
      </c>
      <c r="H107" s="78">
        <f t="shared" si="9"/>
        <v>90593.158270000014</v>
      </c>
      <c r="I107" s="78">
        <f t="shared" si="9"/>
        <v>14421.803739999998</v>
      </c>
      <c r="J107" s="242"/>
    </row>
    <row r="108" spans="1:10" ht="13.5" customHeight="1" x14ac:dyDescent="0.25">
      <c r="A108" s="1"/>
      <c r="B108" s="252"/>
      <c r="C108" s="80" t="s">
        <v>127</v>
      </c>
      <c r="D108" s="103"/>
      <c r="E108" s="103"/>
      <c r="F108" s="104"/>
      <c r="G108" s="104"/>
      <c r="H108" s="106"/>
      <c r="I108" s="226"/>
      <c r="J108" s="242"/>
    </row>
    <row r="109" spans="1:10" ht="13.5" customHeight="1" x14ac:dyDescent="0.25">
      <c r="A109" s="1"/>
      <c r="B109" s="24"/>
      <c r="C109" s="163" t="s">
        <v>144</v>
      </c>
      <c r="D109" s="256"/>
      <c r="E109" s="256"/>
      <c r="F109" s="82"/>
      <c r="G109" s="82"/>
      <c r="H109" s="226"/>
      <c r="I109" s="226"/>
      <c r="J109" s="107"/>
    </row>
    <row r="110" spans="1:10" ht="15" customHeight="1" x14ac:dyDescent="0.25">
      <c r="A110" s="1"/>
      <c r="B110" s="24"/>
      <c r="C110" s="163" t="s">
        <v>126</v>
      </c>
      <c r="D110" s="256"/>
      <c r="E110" s="256"/>
      <c r="F110" s="82"/>
      <c r="G110" s="82"/>
      <c r="H110" s="226"/>
      <c r="I110" s="226"/>
      <c r="J110" s="107"/>
    </row>
    <row r="111" spans="1:10" ht="15" customHeight="1" x14ac:dyDescent="0.25">
      <c r="A111" s="1"/>
      <c r="B111" s="24"/>
      <c r="C111" s="226" t="s">
        <v>57</v>
      </c>
      <c r="D111" s="256"/>
      <c r="E111" s="256"/>
      <c r="F111" s="82"/>
      <c r="G111" s="82"/>
      <c r="H111" s="226"/>
      <c r="I111" s="226"/>
      <c r="J111" s="107"/>
    </row>
    <row r="112" spans="1:10" ht="12" customHeight="1" x14ac:dyDescent="0.25">
      <c r="A112" s="1"/>
      <c r="B112" s="94"/>
      <c r="C112" s="109"/>
      <c r="D112" s="114"/>
      <c r="E112" s="114"/>
      <c r="F112" s="114"/>
      <c r="G112" s="114"/>
      <c r="H112" s="114"/>
      <c r="I112" s="201"/>
      <c r="J112" s="115"/>
    </row>
    <row r="113" spans="1:10" ht="12" customHeight="1" x14ac:dyDescent="0.25">
      <c r="A113" s="1"/>
      <c r="B113" s="101"/>
      <c r="C113" s="1" t="s">
        <v>120</v>
      </c>
      <c r="D113" s="226"/>
      <c r="E113" s="226"/>
      <c r="F113" s="226"/>
      <c r="G113" s="226"/>
      <c r="H113" s="226"/>
      <c r="I113" s="101"/>
      <c r="J113" s="101" t="s">
        <v>120</v>
      </c>
    </row>
    <row r="114" spans="1:10" ht="14.25" customHeight="1" x14ac:dyDescent="0.25">
      <c r="A114" s="1"/>
      <c r="B114" s="101"/>
      <c r="C114" s="101" t="s">
        <v>120</v>
      </c>
      <c r="D114" s="101" t="s">
        <v>120</v>
      </c>
      <c r="E114" s="101"/>
      <c r="F114" s="101"/>
      <c r="G114" s="101"/>
      <c r="H114" s="101"/>
      <c r="I114" s="101"/>
      <c r="J114" s="101" t="s">
        <v>120</v>
      </c>
    </row>
    <row r="115" spans="1:10" ht="17.100000000000001" customHeight="1" x14ac:dyDescent="0.25">
      <c r="A115" s="216"/>
      <c r="B115" s="216"/>
      <c r="C115" s="217" t="s">
        <v>58</v>
      </c>
      <c r="D115" s="216"/>
      <c r="E115" s="216"/>
      <c r="F115" s="216"/>
      <c r="G115" s="216"/>
      <c r="H115" s="216"/>
      <c r="I115" s="216"/>
      <c r="J115" s="216"/>
    </row>
    <row r="116" spans="1:10" ht="3" customHeight="1" x14ac:dyDescent="0.25">
      <c r="A116" s="216"/>
      <c r="B116" s="216"/>
      <c r="C116" s="217"/>
      <c r="D116" s="216"/>
      <c r="E116" s="216"/>
      <c r="F116" s="216"/>
      <c r="G116" s="216"/>
      <c r="H116" s="216"/>
      <c r="I116" s="216"/>
      <c r="J116" s="216"/>
    </row>
    <row r="117" spans="1:10" ht="14.1" customHeight="1" x14ac:dyDescent="0.25">
      <c r="A117" s="1"/>
      <c r="B117" s="140"/>
      <c r="C117" s="156"/>
      <c r="D117" s="156"/>
      <c r="E117" s="156"/>
      <c r="F117" s="156"/>
      <c r="G117" s="156"/>
      <c r="H117" s="156"/>
      <c r="I117" s="156"/>
      <c r="J117" s="164"/>
    </row>
    <row r="118" spans="1:10" ht="15" customHeight="1" x14ac:dyDescent="0.25">
      <c r="A118" s="1"/>
      <c r="B118" s="54"/>
      <c r="C118" s="151" t="s">
        <v>1</v>
      </c>
      <c r="D118" s="187"/>
      <c r="E118" s="151" t="s">
        <v>2</v>
      </c>
      <c r="F118" s="187"/>
      <c r="G118" s="151" t="s">
        <v>3</v>
      </c>
      <c r="H118" s="187"/>
      <c r="I118" s="181"/>
      <c r="J118" s="242"/>
    </row>
    <row r="119" spans="1:10" ht="14.1" customHeight="1" x14ac:dyDescent="0.25">
      <c r="A119" s="1"/>
      <c r="B119" s="252"/>
      <c r="C119" s="117" t="s">
        <v>6</v>
      </c>
      <c r="D119" s="119">
        <v>212544</v>
      </c>
      <c r="E119" s="102" t="s">
        <v>4</v>
      </c>
      <c r="F119" s="116">
        <v>77128</v>
      </c>
      <c r="G119" s="117" t="s">
        <v>5</v>
      </c>
      <c r="H119" s="116">
        <v>8713</v>
      </c>
      <c r="I119" s="181"/>
      <c r="J119" s="242"/>
    </row>
    <row r="120" spans="1:10" ht="14.1" customHeight="1" x14ac:dyDescent="0.25">
      <c r="A120" s="1"/>
      <c r="B120" s="252"/>
      <c r="C120" s="117" t="s">
        <v>9</v>
      </c>
      <c r="D120" s="119">
        <v>12100</v>
      </c>
      <c r="E120" s="117" t="s">
        <v>7</v>
      </c>
      <c r="F120" s="119">
        <v>79212</v>
      </c>
      <c r="G120" s="117" t="s">
        <v>8</v>
      </c>
      <c r="H120" s="119">
        <v>59409</v>
      </c>
      <c r="I120" s="181"/>
      <c r="J120" s="242"/>
    </row>
    <row r="121" spans="1:10" ht="14.1" customHeight="1" x14ac:dyDescent="0.25">
      <c r="A121" s="1"/>
      <c r="B121" s="252"/>
      <c r="C121" s="246" t="s">
        <v>59</v>
      </c>
      <c r="D121" s="119">
        <v>2150</v>
      </c>
      <c r="E121" s="117" t="s">
        <v>60</v>
      </c>
      <c r="F121" s="119">
        <v>52113</v>
      </c>
      <c r="G121" s="117" t="s">
        <v>11</v>
      </c>
      <c r="H121" s="119">
        <v>11090</v>
      </c>
      <c r="I121" s="181"/>
      <c r="J121" s="242"/>
    </row>
    <row r="122" spans="1:10" ht="14.1" customHeight="1" x14ac:dyDescent="0.25">
      <c r="A122" s="1"/>
      <c r="B122" s="155"/>
      <c r="C122" s="167"/>
      <c r="D122" s="193"/>
      <c r="E122" s="193" t="s">
        <v>61</v>
      </c>
      <c r="F122" s="119">
        <v>4091</v>
      </c>
      <c r="G122" s="117"/>
      <c r="H122" s="167"/>
      <c r="I122" s="181"/>
      <c r="J122" s="242"/>
    </row>
    <row r="123" spans="1:10" ht="12" customHeight="1" x14ac:dyDescent="0.25">
      <c r="A123" s="1"/>
      <c r="B123" s="252"/>
      <c r="C123" s="180" t="s">
        <v>50</v>
      </c>
      <c r="D123" s="192">
        <v>226794</v>
      </c>
      <c r="E123" s="112" t="s">
        <v>14</v>
      </c>
      <c r="F123" s="192">
        <v>212544</v>
      </c>
      <c r="G123" s="180" t="s">
        <v>7</v>
      </c>
      <c r="H123" s="35">
        <v>79212</v>
      </c>
      <c r="I123" s="181"/>
      <c r="J123" s="242"/>
    </row>
    <row r="124" spans="1:10" ht="12" customHeight="1" x14ac:dyDescent="0.25">
      <c r="A124" s="101"/>
      <c r="B124" s="24"/>
      <c r="C124" s="101" t="s">
        <v>130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39"/>
      <c r="C125" s="270"/>
      <c r="D125" s="270"/>
      <c r="E125" s="231"/>
      <c r="F125" s="231"/>
      <c r="G125" s="231"/>
      <c r="H125" s="231"/>
      <c r="I125" s="231"/>
      <c r="J125" s="243"/>
    </row>
    <row r="126" spans="1:10" ht="25.5" customHeight="1" x14ac:dyDescent="0.25">
      <c r="A126" s="1"/>
      <c r="B126" s="252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2"/>
    </row>
    <row r="127" spans="1:10" ht="53.25" customHeight="1" x14ac:dyDescent="0.25">
      <c r="A127" s="159"/>
      <c r="B127" s="54"/>
      <c r="C127" s="262" t="s">
        <v>16</v>
      </c>
      <c r="D127" s="15" t="s">
        <v>17</v>
      </c>
      <c r="E127" s="15" t="s">
        <v>62</v>
      </c>
      <c r="F127" s="15" t="s">
        <v>138</v>
      </c>
      <c r="G127" s="15" t="s">
        <v>139</v>
      </c>
      <c r="H127" s="15" t="s">
        <v>140</v>
      </c>
      <c r="I127" s="15" t="s">
        <v>141</v>
      </c>
      <c r="J127" s="278"/>
    </row>
    <row r="128" spans="1:10" ht="14.1" customHeight="1" x14ac:dyDescent="0.25">
      <c r="A128" s="1"/>
      <c r="B128" s="252"/>
      <c r="C128" s="16" t="s">
        <v>63</v>
      </c>
      <c r="D128" s="28">
        <v>77128</v>
      </c>
      <c r="E128" s="28">
        <f t="shared" ref="E128:I128" si="10">E129+E130+E131</f>
        <v>70541</v>
      </c>
      <c r="F128" s="11">
        <f t="shared" si="10"/>
        <v>1677.7314000000001</v>
      </c>
      <c r="G128" s="11">
        <f t="shared" si="10"/>
        <v>16510.239819999999</v>
      </c>
      <c r="H128" s="11">
        <f t="shared" si="10"/>
        <v>54030.760180000005</v>
      </c>
      <c r="I128" s="11">
        <f t="shared" si="10"/>
        <v>13637.528740000002</v>
      </c>
      <c r="J128" s="242"/>
    </row>
    <row r="129" spans="1:10" ht="14.1" customHeight="1" x14ac:dyDescent="0.25">
      <c r="A129" s="1"/>
      <c r="B129" s="252"/>
      <c r="C129" s="47" t="s">
        <v>20</v>
      </c>
      <c r="D129" s="48">
        <v>61702</v>
      </c>
      <c r="E129" s="48">
        <v>56092</v>
      </c>
      <c r="F129" s="23">
        <f>1217.1222</f>
        <v>1217.1222</v>
      </c>
      <c r="G129" s="23">
        <f>14592.83347</f>
        <v>14592.83347</v>
      </c>
      <c r="H129" s="23">
        <f>E129-G129</f>
        <v>41499.166530000002</v>
      </c>
      <c r="I129" s="23">
        <f>10632.74111</f>
        <v>10632.741110000001</v>
      </c>
      <c r="J129" s="242"/>
    </row>
    <row r="130" spans="1:10" ht="15" customHeight="1" x14ac:dyDescent="0.25">
      <c r="A130" s="1"/>
      <c r="B130" s="252"/>
      <c r="C130" s="47" t="s">
        <v>21</v>
      </c>
      <c r="D130" s="48">
        <v>14926</v>
      </c>
      <c r="E130" s="48">
        <v>13949</v>
      </c>
      <c r="F130" s="23">
        <f>460.6092</f>
        <v>460.60919999999999</v>
      </c>
      <c r="G130" s="23">
        <f>1917.40635</f>
        <v>1917.40635</v>
      </c>
      <c r="H130" s="23">
        <f>E130-G130</f>
        <v>12031.593650000001</v>
      </c>
      <c r="I130" s="23">
        <f>3004.78763</f>
        <v>3004.7876299999998</v>
      </c>
      <c r="J130" s="242"/>
    </row>
    <row r="131" spans="1:10" ht="13.5" customHeight="1" x14ac:dyDescent="0.25">
      <c r="A131" s="1"/>
      <c r="B131" s="252"/>
      <c r="C131" s="50" t="s">
        <v>64</v>
      </c>
      <c r="D131" s="33">
        <v>500</v>
      </c>
      <c r="E131" s="33">
        <v>500</v>
      </c>
      <c r="F131" s="58"/>
      <c r="G131" s="58"/>
      <c r="H131" s="58">
        <f>E131-G131</f>
        <v>500</v>
      </c>
      <c r="I131" s="58"/>
      <c r="J131" s="242"/>
    </row>
    <row r="132" spans="1:10" ht="14.25" customHeight="1" x14ac:dyDescent="0.25">
      <c r="A132" s="70"/>
      <c r="B132" s="81"/>
      <c r="C132" s="91" t="s">
        <v>65</v>
      </c>
      <c r="D132" s="93">
        <v>52113</v>
      </c>
      <c r="E132" s="93">
        <v>49172</v>
      </c>
      <c r="F132" s="97">
        <f>0.294</f>
        <v>0.29399999999999998</v>
      </c>
      <c r="G132" s="97">
        <f>10.87395+253.17883</f>
        <v>264.05277999999998</v>
      </c>
      <c r="H132" s="97">
        <f>E132-G132</f>
        <v>48907.947220000002</v>
      </c>
      <c r="I132" s="97">
        <f>37.637</f>
        <v>37.637</v>
      </c>
      <c r="J132" s="118"/>
    </row>
    <row r="133" spans="1:10" ht="15.75" customHeight="1" x14ac:dyDescent="0.25">
      <c r="A133" s="1"/>
      <c r="B133" s="252"/>
      <c r="C133" s="144" t="s">
        <v>22</v>
      </c>
      <c r="D133" s="145">
        <v>80721</v>
      </c>
      <c r="E133" s="145">
        <f>E134+E139+E142</f>
        <v>80940</v>
      </c>
      <c r="F133" s="96">
        <f>F134+F139+F142</f>
        <v>2411.4344500000002</v>
      </c>
      <c r="G133" s="96">
        <f t="shared" ref="G133" si="11">G134+G139+G142</f>
        <v>21705.182950000002</v>
      </c>
      <c r="H133" s="96">
        <f>H134+H139+H142</f>
        <v>59234.817049999998</v>
      </c>
      <c r="I133" s="96">
        <f>I134+I139+I142</f>
        <v>16897.211030000002</v>
      </c>
      <c r="J133" s="122"/>
    </row>
    <row r="134" spans="1:10" ht="14.1" customHeight="1" x14ac:dyDescent="0.25">
      <c r="A134" s="1"/>
      <c r="B134" s="54"/>
      <c r="C134" s="123" t="s">
        <v>66</v>
      </c>
      <c r="D134" s="125">
        <v>60918</v>
      </c>
      <c r="E134" s="125">
        <f>E135+E136+E137+E138</f>
        <v>59504</v>
      </c>
      <c r="F134" s="127">
        <f>F135+F136+F137+F138</f>
        <v>2093.5303400000003</v>
      </c>
      <c r="G134" s="127">
        <f>G135+G136+G138+G137</f>
        <v>19837.133610000001</v>
      </c>
      <c r="H134" s="127">
        <f>H135+H136+H137+H138</f>
        <v>39666.866389999996</v>
      </c>
      <c r="I134" s="127">
        <f>I135+I136+I137+I138</f>
        <v>15096.027480000001</v>
      </c>
      <c r="J134" s="278"/>
    </row>
    <row r="135" spans="1:10" ht="14.1" customHeight="1" x14ac:dyDescent="0.25">
      <c r="A135" s="199"/>
      <c r="B135" s="128"/>
      <c r="C135" s="64" t="s">
        <v>24</v>
      </c>
      <c r="D135" s="65">
        <v>16169</v>
      </c>
      <c r="E135" s="65">
        <v>17504</v>
      </c>
      <c r="F135" s="129">
        <f>286.40867</f>
        <v>286.40866999999997</v>
      </c>
      <c r="G135" s="129">
        <v>3372.59366</v>
      </c>
      <c r="H135" s="129">
        <f>E135-G135</f>
        <v>14131.40634</v>
      </c>
      <c r="I135" s="129">
        <f>2334.40708</f>
        <v>2334.40708</v>
      </c>
      <c r="J135" s="130"/>
    </row>
    <row r="136" spans="1:10" ht="14.1" customHeight="1" x14ac:dyDescent="0.25">
      <c r="A136" s="199"/>
      <c r="B136" s="184"/>
      <c r="C136" s="64" t="s">
        <v>52</v>
      </c>
      <c r="D136" s="65">
        <v>16559</v>
      </c>
      <c r="E136" s="65">
        <v>15084</v>
      </c>
      <c r="F136" s="129">
        <f>793.26998</f>
        <v>793.26998000000003</v>
      </c>
      <c r="G136" s="129">
        <v>6195.6177799999996</v>
      </c>
      <c r="H136" s="129">
        <f>E136-G136</f>
        <v>8888.3822199999995</v>
      </c>
      <c r="I136" s="129">
        <f>5029.68774</f>
        <v>5029.6877400000003</v>
      </c>
      <c r="J136" s="131"/>
    </row>
    <row r="137" spans="1:10" ht="14.1" customHeight="1" x14ac:dyDescent="0.25">
      <c r="A137" s="199"/>
      <c r="B137" s="184"/>
      <c r="C137" s="64" t="s">
        <v>53</v>
      </c>
      <c r="D137" s="65">
        <v>15131</v>
      </c>
      <c r="E137" s="65">
        <v>15023</v>
      </c>
      <c r="F137" s="129">
        <f>488.49841</f>
        <v>488.49840999999998</v>
      </c>
      <c r="G137" s="129">
        <v>4715.1027899999999</v>
      </c>
      <c r="H137" s="129">
        <f>E137-G137</f>
        <v>10307.897209999999</v>
      </c>
      <c r="I137" s="129">
        <f>4122.11934</f>
        <v>4122.1193400000002</v>
      </c>
      <c r="J137" s="131"/>
    </row>
    <row r="138" spans="1:10" ht="14.1" customHeight="1" x14ac:dyDescent="0.25">
      <c r="A138" s="199"/>
      <c r="B138" s="184"/>
      <c r="C138" s="64" t="s">
        <v>27</v>
      </c>
      <c r="D138" s="65">
        <v>13057</v>
      </c>
      <c r="E138" s="65">
        <v>11893</v>
      </c>
      <c r="F138" s="129">
        <f>525.35328</f>
        <v>525.35328000000004</v>
      </c>
      <c r="G138" s="129">
        <v>5553.8193799999999</v>
      </c>
      <c r="H138" s="129">
        <f>E138-G138</f>
        <v>6339.1806200000001</v>
      </c>
      <c r="I138" s="129">
        <f>3609.81332</f>
        <v>3609.8133200000002</v>
      </c>
      <c r="J138" s="131"/>
    </row>
    <row r="139" spans="1:10" ht="14.1" customHeight="1" x14ac:dyDescent="0.25">
      <c r="A139" s="69"/>
      <c r="B139" s="55"/>
      <c r="C139" s="59" t="s">
        <v>29</v>
      </c>
      <c r="D139" s="60">
        <v>8713</v>
      </c>
      <c r="E139" s="60">
        <f>E141+E140</f>
        <v>9432</v>
      </c>
      <c r="F139" s="134">
        <f>SUM(F140:F141)</f>
        <v>165.26320000000001</v>
      </c>
      <c r="G139" s="134">
        <f>SUM(G140:G141)</f>
        <v>766.62025999999992</v>
      </c>
      <c r="H139" s="134">
        <f>H140+H141</f>
        <v>8665.3797400000003</v>
      </c>
      <c r="I139" s="134">
        <f>SUM(I140:I141)</f>
        <v>927.98120000000006</v>
      </c>
      <c r="J139" s="136"/>
    </row>
    <row r="140" spans="1:10" ht="14.1" customHeight="1" x14ac:dyDescent="0.25">
      <c r="A140" s="1"/>
      <c r="B140" s="252"/>
      <c r="C140" s="64" t="s">
        <v>67</v>
      </c>
      <c r="D140" s="65">
        <v>8213</v>
      </c>
      <c r="E140" s="65">
        <v>8932</v>
      </c>
      <c r="F140" s="129">
        <f>154.1464</f>
        <v>154.1464</v>
      </c>
      <c r="G140" s="129">
        <f>734.70557</f>
        <v>734.70556999999997</v>
      </c>
      <c r="H140" s="129">
        <f t="shared" ref="H140:H147" si="12">E140-G140</f>
        <v>8197.2944299999999</v>
      </c>
      <c r="I140" s="129">
        <f>886.5842</f>
        <v>886.58420000000001</v>
      </c>
      <c r="J140" s="122"/>
    </row>
    <row r="141" spans="1:10" ht="15" customHeight="1" x14ac:dyDescent="0.25">
      <c r="A141" s="1"/>
      <c r="B141" s="55"/>
      <c r="C141" s="64" t="s">
        <v>68</v>
      </c>
      <c r="D141" s="65">
        <v>500</v>
      </c>
      <c r="E141" s="65">
        <v>500</v>
      </c>
      <c r="F141" s="129">
        <f>11.1168</f>
        <v>11.1168</v>
      </c>
      <c r="G141" s="129">
        <f>31.91469</f>
        <v>31.91469</v>
      </c>
      <c r="H141" s="129">
        <f t="shared" si="12"/>
        <v>468.08530999999999</v>
      </c>
      <c r="I141" s="129">
        <f>41.397</f>
        <v>41.396999999999998</v>
      </c>
      <c r="J141" s="137"/>
    </row>
    <row r="142" spans="1:10" ht="15.75" customHeight="1" x14ac:dyDescent="0.25">
      <c r="A142" s="1"/>
      <c r="B142" s="252"/>
      <c r="C142" s="38" t="s">
        <v>11</v>
      </c>
      <c r="D142" s="63">
        <v>11090</v>
      </c>
      <c r="E142" s="63">
        <v>12004</v>
      </c>
      <c r="F142" s="77">
        <f>152.64091</f>
        <v>152.64090999999999</v>
      </c>
      <c r="G142" s="77">
        <f>1101.42908</f>
        <v>1101.4290800000001</v>
      </c>
      <c r="H142" s="77">
        <f t="shared" si="12"/>
        <v>10902.57092</v>
      </c>
      <c r="I142" s="77">
        <f>873.20235</f>
        <v>873.20235000000002</v>
      </c>
      <c r="J142" s="122"/>
    </row>
    <row r="143" spans="1:10" ht="15.75" customHeight="1" x14ac:dyDescent="0.25">
      <c r="A143" s="1"/>
      <c r="B143" s="252"/>
      <c r="C143" s="144" t="s">
        <v>34</v>
      </c>
      <c r="D143" s="145">
        <v>137</v>
      </c>
      <c r="E143" s="145">
        <v>137</v>
      </c>
      <c r="F143" s="141">
        <f>0.3225</f>
        <v>0.32250000000000001</v>
      </c>
      <c r="G143" s="141">
        <f>1.63943</f>
        <v>1.6394299999999999</v>
      </c>
      <c r="H143" s="141">
        <f t="shared" si="12"/>
        <v>135.36057</v>
      </c>
      <c r="I143" s="141">
        <f>1.85162</f>
        <v>1.85162</v>
      </c>
      <c r="J143" s="122"/>
    </row>
    <row r="144" spans="1:10" ht="15.75" customHeight="1" x14ac:dyDescent="0.25">
      <c r="A144" s="1"/>
      <c r="B144" s="252"/>
      <c r="C144" s="142" t="s">
        <v>69</v>
      </c>
      <c r="D144" s="92">
        <v>250</v>
      </c>
      <c r="E144" s="92">
        <v>250</v>
      </c>
      <c r="F144" s="100">
        <f>0</f>
        <v>0</v>
      </c>
      <c r="G144" s="100">
        <f>0</f>
        <v>0</v>
      </c>
      <c r="H144" s="100">
        <f t="shared" si="12"/>
        <v>250</v>
      </c>
      <c r="I144" s="100">
        <f>0</f>
        <v>0</v>
      </c>
      <c r="J144" s="122"/>
    </row>
    <row r="145" spans="1:10" ht="18" customHeight="1" x14ac:dyDescent="0.25">
      <c r="A145" s="1"/>
      <c r="B145" s="252"/>
      <c r="C145" s="142" t="s">
        <v>70</v>
      </c>
      <c r="D145" s="145">
        <v>2000</v>
      </c>
      <c r="E145" s="145">
        <v>2000</v>
      </c>
      <c r="F145" s="141">
        <f>8.9769</f>
        <v>8.9769000000000005</v>
      </c>
      <c r="G145" s="141">
        <v>2000</v>
      </c>
      <c r="H145" s="141">
        <f t="shared" si="12"/>
        <v>0</v>
      </c>
      <c r="I145" s="141">
        <v>2000</v>
      </c>
      <c r="J145" s="242"/>
    </row>
    <row r="146" spans="1:10" ht="15.75" customHeight="1" x14ac:dyDescent="0.25">
      <c r="A146" s="1"/>
      <c r="B146" s="252"/>
      <c r="C146" s="144" t="s">
        <v>37</v>
      </c>
      <c r="D146" s="145"/>
      <c r="E146" s="145"/>
      <c r="F146" s="141">
        <v>0</v>
      </c>
      <c r="G146" s="141">
        <v>0</v>
      </c>
      <c r="H146" s="141">
        <f t="shared" si="12"/>
        <v>0</v>
      </c>
      <c r="I146" s="141"/>
      <c r="J146" s="122"/>
    </row>
    <row r="147" spans="1:10" ht="15.75" customHeight="1" x14ac:dyDescent="0.25">
      <c r="A147" s="1"/>
      <c r="B147" s="252"/>
      <c r="C147" s="144" t="s">
        <v>71</v>
      </c>
      <c r="D147" s="145">
        <v>195</v>
      </c>
      <c r="E147" s="145">
        <v>195</v>
      </c>
      <c r="F147" s="141"/>
      <c r="G147" s="141"/>
      <c r="H147" s="141">
        <f t="shared" si="12"/>
        <v>195</v>
      </c>
      <c r="I147" s="141"/>
      <c r="J147" s="122"/>
    </row>
    <row r="148" spans="1:10" ht="15" customHeight="1" x14ac:dyDescent="0.25">
      <c r="A148" s="1"/>
      <c r="B148" s="252"/>
      <c r="C148" s="144" t="s">
        <v>40</v>
      </c>
      <c r="D148" s="148"/>
      <c r="E148" s="145"/>
      <c r="F148" s="141"/>
      <c r="G148" s="141"/>
      <c r="H148" s="141"/>
      <c r="I148" s="141"/>
      <c r="J148" s="122"/>
    </row>
    <row r="149" spans="1:10" ht="0" hidden="1" customHeight="1" x14ac:dyDescent="0.25">
      <c r="C149" s="150"/>
      <c r="D149" s="152"/>
      <c r="E149" s="153"/>
      <c r="F149" s="152"/>
      <c r="G149" s="152"/>
      <c r="H149" s="152"/>
      <c r="I149" s="158"/>
    </row>
    <row r="150" spans="1:10" ht="14.25" customHeight="1" x14ac:dyDescent="0.25">
      <c r="A150" s="159"/>
      <c r="B150" s="54"/>
      <c r="C150" s="160" t="s">
        <v>41</v>
      </c>
      <c r="D150" s="78">
        <f t="shared" ref="D150:E150" si="13">D128+D132+D133+D143+D144+D145+D146+D147+D148</f>
        <v>212544</v>
      </c>
      <c r="E150" s="78">
        <f t="shared" si="13"/>
        <v>203235</v>
      </c>
      <c r="F150" s="78">
        <f>F128+F132+F133+F143+F144+F145+F146+F147+F148</f>
        <v>4098.7592500000001</v>
      </c>
      <c r="G150" s="78">
        <f>G128+G132+G133+G143+G144+G145+G146+G147+G148</f>
        <v>40481.114980000006</v>
      </c>
      <c r="H150" s="78">
        <f>H128+H132+H133+H143+H144+H145+H146+H147+H148</f>
        <v>162753.88502000002</v>
      </c>
      <c r="I150" s="78">
        <f>I128+I132+I133+I143+I144+I145+I146+I147+I148</f>
        <v>32574.228390000004</v>
      </c>
      <c r="J150" s="162"/>
    </row>
    <row r="151" spans="1:10" ht="14.25" customHeight="1" x14ac:dyDescent="0.25">
      <c r="A151" s="159"/>
      <c r="B151" s="54"/>
      <c r="C151" s="163" t="s">
        <v>72</v>
      </c>
      <c r="D151" s="121"/>
      <c r="E151" s="121"/>
      <c r="F151" s="121"/>
      <c r="G151" s="121"/>
      <c r="H151" s="165"/>
      <c r="I151" s="165"/>
      <c r="J151" s="162"/>
    </row>
    <row r="152" spans="1:10" ht="14.25" customHeight="1" x14ac:dyDescent="0.25">
      <c r="A152" s="159"/>
      <c r="B152" s="54"/>
      <c r="C152" s="101" t="s">
        <v>131</v>
      </c>
      <c r="D152" s="121"/>
      <c r="E152" s="121"/>
      <c r="F152" s="121"/>
      <c r="G152" s="121"/>
      <c r="H152" s="165"/>
      <c r="I152" s="159"/>
      <c r="J152" s="278"/>
    </row>
    <row r="153" spans="1:10" ht="14.25" customHeight="1" x14ac:dyDescent="0.25">
      <c r="A153" s="159"/>
      <c r="B153" s="54"/>
      <c r="C153" s="163" t="s">
        <v>142</v>
      </c>
      <c r="D153" s="121"/>
      <c r="E153" s="121"/>
      <c r="F153" s="121"/>
      <c r="G153" s="121"/>
      <c r="H153" s="165"/>
      <c r="I153" s="159"/>
      <c r="J153" s="278"/>
    </row>
    <row r="154" spans="1:10" ht="14.25" customHeight="1" x14ac:dyDescent="0.25">
      <c r="A154" s="159"/>
      <c r="B154" s="54"/>
      <c r="C154" s="80" t="s">
        <v>145</v>
      </c>
      <c r="D154" s="121"/>
      <c r="E154" s="121"/>
      <c r="F154" s="121"/>
      <c r="G154" s="121"/>
      <c r="H154" s="165"/>
      <c r="I154" s="165"/>
      <c r="J154" s="278"/>
    </row>
    <row r="155" spans="1:10" ht="15.75" customHeight="1" x14ac:dyDescent="0.25">
      <c r="A155" s="159"/>
      <c r="B155" s="54"/>
      <c r="C155" s="163" t="s">
        <v>73</v>
      </c>
      <c r="D155" s="121"/>
      <c r="E155" s="121"/>
      <c r="F155" s="121"/>
      <c r="G155" s="121"/>
      <c r="H155" s="165"/>
      <c r="I155" s="165"/>
      <c r="J155" s="278"/>
    </row>
    <row r="156" spans="1:10" ht="15.75" customHeight="1" x14ac:dyDescent="0.25">
      <c r="A156" s="159"/>
      <c r="B156" s="54"/>
      <c r="C156" s="80" t="s">
        <v>132</v>
      </c>
      <c r="D156" s="121"/>
      <c r="E156" s="121"/>
      <c r="F156" s="121"/>
      <c r="G156" s="121"/>
      <c r="H156" s="165"/>
      <c r="I156" s="165"/>
      <c r="J156" s="278"/>
    </row>
    <row r="157" spans="1:10" ht="12" customHeight="1" x14ac:dyDescent="0.25">
      <c r="A157" s="1"/>
      <c r="B157" s="166"/>
      <c r="C157" s="109"/>
      <c r="D157" s="170"/>
      <c r="E157" s="170"/>
      <c r="F157" s="170"/>
      <c r="G157" s="170"/>
      <c r="H157" s="109"/>
      <c r="I157" s="109"/>
      <c r="J157" s="120"/>
    </row>
    <row r="158" spans="1:10" ht="12" customHeight="1" x14ac:dyDescent="0.25">
      <c r="A158" s="1"/>
      <c r="B158" s="1"/>
      <c r="C158" s="199"/>
      <c r="D158" s="172"/>
      <c r="E158" s="172"/>
      <c r="F158" s="172"/>
      <c r="G158" s="172"/>
      <c r="H158" s="1"/>
      <c r="I158" s="1"/>
      <c r="J158" s="1"/>
    </row>
    <row r="159" spans="1:10" x14ac:dyDescent="0.25">
      <c r="A159" s="1"/>
      <c r="B159" s="1"/>
      <c r="C159" s="199"/>
      <c r="D159" s="172"/>
      <c r="E159" s="172"/>
      <c r="F159" s="172"/>
      <c r="G159" s="172"/>
      <c r="H159" s="1"/>
      <c r="I159" s="1"/>
      <c r="J159" s="1"/>
    </row>
    <row r="160" spans="1:10" x14ac:dyDescent="0.25">
      <c r="A160" s="1"/>
      <c r="B160" s="1"/>
      <c r="C160" s="199"/>
      <c r="D160" s="172"/>
      <c r="E160" s="172"/>
      <c r="F160" s="172"/>
      <c r="G160" s="172"/>
      <c r="H160" s="1"/>
      <c r="I160" s="1"/>
      <c r="J160" s="1"/>
    </row>
    <row r="161" spans="1:10" x14ac:dyDescent="0.25">
      <c r="A161" s="1"/>
      <c r="B161" s="1"/>
      <c r="C161" s="199"/>
      <c r="D161" s="172"/>
      <c r="E161" s="172"/>
      <c r="F161" s="172"/>
      <c r="G161" s="172"/>
      <c r="H161" s="1"/>
      <c r="I161" s="1"/>
      <c r="J161" s="1"/>
    </row>
    <row r="162" spans="1:10" ht="21" customHeight="1" x14ac:dyDescent="0.25">
      <c r="A162" s="1" t="s">
        <v>120</v>
      </c>
      <c r="B162" s="2"/>
      <c r="C162" s="217" t="s">
        <v>74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7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120</v>
      </c>
      <c r="B164" s="138"/>
      <c r="C164" s="176"/>
      <c r="D164" s="176"/>
      <c r="E164" s="176"/>
      <c r="F164" s="176"/>
      <c r="G164" s="176"/>
      <c r="H164" s="176"/>
      <c r="I164" s="176"/>
      <c r="J164" s="178"/>
    </row>
    <row r="165" spans="1:10" ht="14.1" customHeight="1" x14ac:dyDescent="0.25">
      <c r="A165" s="1" t="s">
        <v>120</v>
      </c>
      <c r="B165" s="252"/>
      <c r="C165" s="151" t="s">
        <v>1</v>
      </c>
      <c r="D165" s="187"/>
      <c r="E165" s="279"/>
      <c r="F165" s="279"/>
      <c r="G165" s="279"/>
      <c r="H165" s="1"/>
      <c r="I165" s="1"/>
      <c r="J165" s="122"/>
    </row>
    <row r="166" spans="1:10" ht="14.1" customHeight="1" x14ac:dyDescent="0.25">
      <c r="A166" s="1"/>
      <c r="B166" s="252"/>
      <c r="C166" s="180" t="s">
        <v>6</v>
      </c>
      <c r="D166" s="192">
        <v>12735</v>
      </c>
      <c r="E166" s="279"/>
      <c r="F166" s="279"/>
      <c r="G166" s="279"/>
      <c r="H166" s="1"/>
      <c r="I166" s="1"/>
      <c r="J166" s="122"/>
    </row>
    <row r="167" spans="1:10" ht="14.1" customHeight="1" x14ac:dyDescent="0.25">
      <c r="A167" s="1"/>
      <c r="B167" s="252"/>
      <c r="C167" s="180" t="s">
        <v>9</v>
      </c>
      <c r="D167" s="192">
        <v>11325</v>
      </c>
      <c r="E167" s="279"/>
      <c r="F167" s="279"/>
      <c r="G167" s="233"/>
      <c r="H167" s="1"/>
      <c r="I167" s="1"/>
      <c r="J167" s="122"/>
    </row>
    <row r="168" spans="1:10" ht="14.1" customHeight="1" x14ac:dyDescent="0.25">
      <c r="A168" s="1"/>
      <c r="B168" s="252"/>
      <c r="C168" s="180" t="s">
        <v>75</v>
      </c>
      <c r="D168" s="192">
        <v>940</v>
      </c>
      <c r="E168" s="279"/>
      <c r="F168" s="279"/>
      <c r="G168" s="279"/>
      <c r="H168" s="1"/>
      <c r="I168" s="1"/>
      <c r="J168" s="122"/>
    </row>
    <row r="169" spans="1:10" ht="14.1" customHeight="1" x14ac:dyDescent="0.25">
      <c r="A169" s="1"/>
      <c r="B169" s="252"/>
      <c r="C169" s="180" t="s">
        <v>50</v>
      </c>
      <c r="D169" s="192">
        <v>25000</v>
      </c>
      <c r="E169" s="279"/>
      <c r="F169" s="279"/>
      <c r="G169" s="279"/>
      <c r="H169" s="1"/>
      <c r="I169" s="1"/>
      <c r="J169" s="122"/>
    </row>
    <row r="170" spans="1:10" ht="14.1" customHeight="1" x14ac:dyDescent="0.25">
      <c r="A170" s="1"/>
      <c r="B170" s="252"/>
      <c r="C170" s="1"/>
      <c r="D170" s="49"/>
      <c r="E170" s="279"/>
      <c r="F170" s="279"/>
      <c r="G170" s="279"/>
      <c r="H170" s="1"/>
      <c r="I170" s="1"/>
      <c r="J170" s="122"/>
    </row>
    <row r="171" spans="1:10" ht="3.75" customHeight="1" x14ac:dyDescent="0.25">
      <c r="A171" s="1"/>
      <c r="B171" s="239"/>
      <c r="C171" s="161"/>
      <c r="D171" s="161"/>
      <c r="E171" s="265"/>
      <c r="F171" s="265"/>
      <c r="G171" s="265"/>
      <c r="H171" s="231"/>
      <c r="I171" s="231"/>
      <c r="J171" s="243"/>
    </row>
    <row r="172" spans="1:10" ht="24.75" customHeight="1" x14ac:dyDescent="0.25">
      <c r="A172" s="1"/>
      <c r="B172" s="252"/>
      <c r="C172" s="18" t="s">
        <v>15</v>
      </c>
      <c r="D172" s="181"/>
      <c r="E172" s="172"/>
      <c r="F172" s="172"/>
      <c r="G172" s="172"/>
      <c r="H172" s="1"/>
      <c r="I172" s="1"/>
      <c r="J172" s="122"/>
    </row>
    <row r="173" spans="1:10" ht="15.75" customHeight="1" x14ac:dyDescent="0.25">
      <c r="A173" s="1"/>
      <c r="B173" s="200"/>
      <c r="C173" s="222"/>
      <c r="D173" s="222"/>
      <c r="E173" s="222"/>
      <c r="F173" s="222"/>
      <c r="G173" s="222"/>
      <c r="H173" s="222"/>
      <c r="I173" s="222"/>
      <c r="J173" s="13"/>
    </row>
    <row r="174" spans="1:10" ht="61.5" customHeight="1" x14ac:dyDescent="0.25">
      <c r="A174" s="159"/>
      <c r="B174" s="54"/>
      <c r="C174" s="15" t="s">
        <v>16</v>
      </c>
      <c r="D174" s="177" t="s">
        <v>2</v>
      </c>
      <c r="E174" s="15" t="s">
        <v>138</v>
      </c>
      <c r="F174" s="15" t="s">
        <v>139</v>
      </c>
      <c r="G174" s="56" t="s">
        <v>140</v>
      </c>
      <c r="H174" s="15" t="s">
        <v>141</v>
      </c>
      <c r="I174" s="159"/>
      <c r="J174" s="278"/>
    </row>
    <row r="175" spans="1:10" ht="14.1" customHeight="1" x14ac:dyDescent="0.25">
      <c r="A175" s="1"/>
      <c r="B175" s="252"/>
      <c r="C175" s="143" t="s">
        <v>76</v>
      </c>
      <c r="D175" s="96">
        <v>4988</v>
      </c>
      <c r="E175" s="274">
        <f>10.26597</f>
        <v>10.265969999999999</v>
      </c>
      <c r="F175" s="274">
        <f>215.06147</f>
        <v>215.06147000000001</v>
      </c>
      <c r="G175" s="45">
        <f>D175-F175-F176</f>
        <v>4651.0147800000004</v>
      </c>
      <c r="H175" s="274">
        <f>192.97937</f>
        <v>192.97936999999999</v>
      </c>
      <c r="I175" s="1"/>
      <c r="J175" s="122"/>
    </row>
    <row r="176" spans="1:10" ht="14.1" customHeight="1" x14ac:dyDescent="0.25">
      <c r="A176" s="1"/>
      <c r="B176" s="252"/>
      <c r="C176" s="139" t="s">
        <v>54</v>
      </c>
      <c r="D176" s="183"/>
      <c r="E176" s="154">
        <f>0</f>
        <v>0</v>
      </c>
      <c r="F176" s="154">
        <f>121.92375</f>
        <v>121.92375</v>
      </c>
      <c r="G176" s="215"/>
      <c r="H176" s="154">
        <f>148.04101</f>
        <v>148.04101</v>
      </c>
      <c r="I176" s="1"/>
      <c r="J176" s="122"/>
    </row>
    <row r="177" spans="1:10" ht="15.6" customHeight="1" x14ac:dyDescent="0.25">
      <c r="A177" s="1"/>
      <c r="B177" s="252"/>
      <c r="C177" s="171" t="s">
        <v>77</v>
      </c>
      <c r="D177" s="100">
        <v>200</v>
      </c>
      <c r="E177" s="174">
        <f>0</f>
        <v>0</v>
      </c>
      <c r="F177" s="174">
        <f>18.29706</f>
        <v>18.297059999999998</v>
      </c>
      <c r="G177" s="174">
        <f>D177-F177</f>
        <v>181.70294000000001</v>
      </c>
      <c r="H177" s="174">
        <f>5.28502</f>
        <v>5.2850200000000003</v>
      </c>
      <c r="I177" s="1"/>
      <c r="J177" s="122"/>
    </row>
    <row r="178" spans="1:10" ht="14.1" customHeight="1" x14ac:dyDescent="0.25">
      <c r="A178" s="70"/>
      <c r="B178" s="81"/>
      <c r="C178" s="182" t="s">
        <v>78</v>
      </c>
      <c r="D178" s="183">
        <v>7481</v>
      </c>
      <c r="E178" s="183">
        <f>E179+E180+E181</f>
        <v>0.42293999999999998</v>
      </c>
      <c r="F178" s="183">
        <f>F179+F180+F181</f>
        <v>2.91092</v>
      </c>
      <c r="G178" s="183">
        <f>D178-F178</f>
        <v>7478.0890799999997</v>
      </c>
      <c r="H178" s="183">
        <f>H179+H180+H181</f>
        <v>9.1172400000000007</v>
      </c>
      <c r="I178" s="70"/>
      <c r="J178" s="118"/>
    </row>
    <row r="179" spans="1:10" ht="14.1" customHeight="1" x14ac:dyDescent="0.25">
      <c r="A179" s="199"/>
      <c r="B179" s="184"/>
      <c r="C179" s="185" t="s">
        <v>79</v>
      </c>
      <c r="D179" s="129"/>
      <c r="E179" s="129">
        <f>0.22028</f>
        <v>0.22028</v>
      </c>
      <c r="F179" s="129">
        <f>0.5242</f>
        <v>0.5242</v>
      </c>
      <c r="G179" s="129"/>
      <c r="H179" s="129">
        <f>0.43276</f>
        <v>0.43275999999999998</v>
      </c>
      <c r="I179" s="188"/>
      <c r="J179" s="131"/>
    </row>
    <row r="180" spans="1:10" ht="14.1" customHeight="1" x14ac:dyDescent="0.25">
      <c r="A180" s="199"/>
      <c r="B180" s="184"/>
      <c r="C180" s="185" t="s">
        <v>80</v>
      </c>
      <c r="D180" s="129"/>
      <c r="E180" s="129">
        <f>0.20266</f>
        <v>0.20266000000000001</v>
      </c>
      <c r="F180" s="129">
        <f>1.79508</f>
        <v>1.79508</v>
      </c>
      <c r="G180" s="129"/>
      <c r="H180" s="129">
        <f>7.10871</f>
        <v>7.1087100000000003</v>
      </c>
      <c r="I180" s="188"/>
      <c r="J180" s="189"/>
    </row>
    <row r="181" spans="1:10" ht="14.1" customHeight="1" x14ac:dyDescent="0.25">
      <c r="A181" s="199"/>
      <c r="B181" s="184"/>
      <c r="C181" s="191" t="s">
        <v>81</v>
      </c>
      <c r="D181" s="194"/>
      <c r="E181" s="194">
        <f>0</f>
        <v>0</v>
      </c>
      <c r="F181" s="194">
        <f>0.59164</f>
        <v>0.59164000000000005</v>
      </c>
      <c r="G181" s="194"/>
      <c r="H181" s="194">
        <f>1.57577</f>
        <v>1.5757699999999999</v>
      </c>
      <c r="I181" s="188"/>
      <c r="J181" s="189"/>
    </row>
    <row r="182" spans="1:10" ht="14.1" customHeight="1" x14ac:dyDescent="0.25">
      <c r="A182" s="1"/>
      <c r="B182" s="252"/>
      <c r="C182" s="75" t="s">
        <v>82</v>
      </c>
      <c r="D182" s="141">
        <v>66</v>
      </c>
      <c r="E182" s="141">
        <f>0</f>
        <v>0</v>
      </c>
      <c r="F182" s="141">
        <f>0</f>
        <v>0</v>
      </c>
      <c r="G182" s="141">
        <f>D182-F182</f>
        <v>66</v>
      </c>
      <c r="H182" s="141">
        <f>0</f>
        <v>0</v>
      </c>
      <c r="I182" s="181"/>
      <c r="J182" s="242"/>
    </row>
    <row r="183" spans="1:10" ht="16.5" customHeight="1" x14ac:dyDescent="0.25">
      <c r="A183" s="1"/>
      <c r="B183" s="252"/>
      <c r="C183" s="95" t="s">
        <v>83</v>
      </c>
      <c r="D183" s="195"/>
      <c r="E183" s="96"/>
      <c r="F183" s="96"/>
      <c r="G183" s="96">
        <v>7.4999999999999997E-3</v>
      </c>
      <c r="H183" s="96"/>
      <c r="I183" s="181"/>
      <c r="J183" s="242"/>
    </row>
    <row r="184" spans="1:10" ht="19.350000000000001" customHeight="1" x14ac:dyDescent="0.25">
      <c r="A184" s="159"/>
      <c r="B184" s="54"/>
      <c r="C184" s="76" t="s">
        <v>41</v>
      </c>
      <c r="D184" s="196">
        <f>D175+D177+D178+D182</f>
        <v>12735</v>
      </c>
      <c r="E184" s="196">
        <f>E175+E176+E177+E178+E182+E183</f>
        <v>10.68891</v>
      </c>
      <c r="F184" s="196">
        <f>F175+F176+F177+F178+F182+F183</f>
        <v>358.19319999999999</v>
      </c>
      <c r="G184" s="196">
        <f>D184-F184</f>
        <v>12376.8068</v>
      </c>
      <c r="H184" s="196">
        <f>H175+H176+H177+H178+H182+H183</f>
        <v>355.42263999999994</v>
      </c>
      <c r="I184" s="165"/>
      <c r="J184" s="162"/>
    </row>
    <row r="185" spans="1:10" ht="42" customHeight="1" x14ac:dyDescent="0.25">
      <c r="A185" s="1"/>
      <c r="B185" s="200"/>
      <c r="C185" s="225" t="s">
        <v>133</v>
      </c>
      <c r="D185" s="225"/>
      <c r="E185" s="225"/>
      <c r="F185" s="225"/>
      <c r="G185" s="225"/>
      <c r="H185" s="222"/>
      <c r="I185" s="222"/>
      <c r="J185" s="13"/>
    </row>
    <row r="186" spans="1:10" ht="12" customHeight="1" x14ac:dyDescent="0.25">
      <c r="A186" s="159" t="s">
        <v>120</v>
      </c>
      <c r="B186" s="197"/>
      <c r="C186" s="109"/>
      <c r="D186" s="109"/>
      <c r="E186" s="109"/>
      <c r="F186" s="109"/>
      <c r="G186" s="109"/>
      <c r="H186" s="198"/>
      <c r="I186" s="202"/>
      <c r="J186" s="203"/>
    </row>
    <row r="187" spans="1:10" ht="10.5" customHeight="1" x14ac:dyDescent="0.25">
      <c r="A187" s="152"/>
      <c r="B187" s="1"/>
      <c r="C187" s="199"/>
      <c r="D187" s="172"/>
      <c r="E187" s="172"/>
      <c r="F187" s="172"/>
      <c r="G187" s="172"/>
      <c r="H187" s="1"/>
      <c r="I187" s="1"/>
      <c r="J187" s="1"/>
    </row>
    <row r="188" spans="1:10" ht="10.5" customHeight="1" x14ac:dyDescent="0.25">
      <c r="A188" s="152" t="s">
        <v>120</v>
      </c>
      <c r="B188" s="1"/>
      <c r="C188" s="199"/>
      <c r="D188" s="172"/>
      <c r="E188" s="172"/>
      <c r="F188" s="172"/>
      <c r="G188" s="172"/>
      <c r="H188" s="1"/>
      <c r="I188" s="1"/>
      <c r="J188" s="1"/>
    </row>
    <row r="189" spans="1:10" ht="21.75" customHeight="1" x14ac:dyDescent="0.35">
      <c r="A189" s="152"/>
      <c r="B189" s="1"/>
      <c r="C189" s="213" t="s">
        <v>84</v>
      </c>
      <c r="D189" s="172"/>
      <c r="E189" s="172"/>
      <c r="F189" s="172"/>
      <c r="G189" s="172"/>
      <c r="H189" s="1"/>
      <c r="I189" s="1"/>
      <c r="J189" s="1"/>
    </row>
    <row r="190" spans="1:10" ht="21.75" customHeight="1" x14ac:dyDescent="0.35">
      <c r="A190" s="152" t="s">
        <v>120</v>
      </c>
      <c r="B190" s="1"/>
      <c r="C190" s="213"/>
      <c r="D190" s="172"/>
      <c r="E190" s="172"/>
      <c r="F190" s="172"/>
      <c r="G190" s="172"/>
      <c r="H190" s="1"/>
      <c r="I190" s="1"/>
      <c r="J190" s="1"/>
    </row>
    <row r="191" spans="1:10" ht="12" customHeight="1" x14ac:dyDescent="0.25">
      <c r="A191" s="152"/>
      <c r="B191" s="140"/>
      <c r="C191" s="224"/>
      <c r="D191" s="235"/>
      <c r="E191" s="235"/>
      <c r="F191" s="235"/>
      <c r="G191" s="235"/>
      <c r="H191" s="156"/>
      <c r="I191" s="156"/>
      <c r="J191" s="164"/>
    </row>
    <row r="192" spans="1:10" ht="15" customHeight="1" x14ac:dyDescent="0.25">
      <c r="A192" s="152"/>
      <c r="B192" s="252"/>
      <c r="C192" s="151" t="s">
        <v>1</v>
      </c>
      <c r="D192" s="187"/>
      <c r="E192" s="152"/>
      <c r="F192" s="152"/>
      <c r="G192" s="172"/>
      <c r="H192" s="1"/>
      <c r="I192" s="1"/>
      <c r="J192" s="122"/>
    </row>
    <row r="193" spans="1:10" ht="15" customHeight="1" x14ac:dyDescent="0.25">
      <c r="A193" s="152"/>
      <c r="B193" s="252"/>
      <c r="C193" s="257" t="s">
        <v>85</v>
      </c>
      <c r="D193" s="268">
        <v>43981</v>
      </c>
      <c r="E193" s="152"/>
      <c r="F193" s="152"/>
      <c r="G193" s="172"/>
      <c r="H193" s="1"/>
      <c r="I193" s="1"/>
      <c r="J193" s="122"/>
    </row>
    <row r="194" spans="1:10" ht="15" customHeight="1" x14ac:dyDescent="0.25">
      <c r="A194" s="152"/>
      <c r="B194" s="252"/>
      <c r="C194" s="246" t="s">
        <v>86</v>
      </c>
      <c r="D194" s="46">
        <v>15120</v>
      </c>
      <c r="E194" s="152"/>
      <c r="F194" s="152"/>
      <c r="G194" s="172"/>
      <c r="H194" s="1"/>
      <c r="I194" s="1"/>
      <c r="J194" s="122"/>
    </row>
    <row r="195" spans="1:10" ht="18" customHeight="1" x14ac:dyDescent="0.25">
      <c r="A195" s="152"/>
      <c r="B195" s="252"/>
      <c r="C195" s="246" t="s">
        <v>87</v>
      </c>
      <c r="D195" s="46">
        <v>7678</v>
      </c>
      <c r="E195" s="152"/>
      <c r="F195" s="152"/>
      <c r="G195" s="172"/>
      <c r="H195" s="1"/>
      <c r="I195" s="1"/>
      <c r="J195" s="122"/>
    </row>
    <row r="196" spans="1:10" ht="11.25" customHeight="1" x14ac:dyDescent="0.25">
      <c r="A196" s="152"/>
      <c r="B196" s="252"/>
      <c r="C196" s="57" t="s">
        <v>50</v>
      </c>
      <c r="D196" s="35">
        <v>66779</v>
      </c>
      <c r="E196" s="152"/>
      <c r="F196" s="152"/>
      <c r="G196" s="172"/>
      <c r="H196" s="1"/>
      <c r="I196" s="1"/>
      <c r="J196" s="122"/>
    </row>
    <row r="197" spans="1:10" ht="12" customHeight="1" x14ac:dyDescent="0.25">
      <c r="A197" s="1"/>
      <c r="B197" s="252"/>
      <c r="C197" s="101" t="s">
        <v>134</v>
      </c>
      <c r="D197" s="172"/>
      <c r="E197" s="172"/>
      <c r="F197" s="172"/>
      <c r="G197" s="172"/>
      <c r="H197" s="1"/>
      <c r="I197" s="1"/>
      <c r="J197" s="122"/>
    </row>
    <row r="198" spans="1:10" ht="10.5" customHeight="1" x14ac:dyDescent="0.25">
      <c r="A198" s="1"/>
      <c r="B198" s="252"/>
      <c r="C198" s="101" t="s">
        <v>135</v>
      </c>
      <c r="D198" s="172"/>
      <c r="E198" s="172"/>
      <c r="F198" s="172"/>
      <c r="G198" s="172"/>
      <c r="H198" s="1"/>
      <c r="I198" s="1"/>
      <c r="J198" s="122"/>
    </row>
    <row r="199" spans="1:10" ht="12" customHeight="1" x14ac:dyDescent="0.25">
      <c r="A199" s="1"/>
      <c r="B199" s="252"/>
      <c r="C199" s="101" t="s">
        <v>136</v>
      </c>
      <c r="D199" s="172"/>
      <c r="E199" s="172"/>
      <c r="F199" s="172"/>
      <c r="G199" s="172"/>
      <c r="H199" s="1"/>
      <c r="I199" s="1"/>
      <c r="J199" s="122"/>
    </row>
    <row r="200" spans="1:10" ht="12" customHeight="1" x14ac:dyDescent="0.25">
      <c r="A200" s="1"/>
      <c r="B200" s="239"/>
      <c r="C200" s="265"/>
      <c r="D200" s="161"/>
      <c r="E200" s="161"/>
      <c r="F200" s="265"/>
      <c r="G200" s="265"/>
      <c r="H200" s="265"/>
      <c r="I200" s="231"/>
      <c r="J200" s="243"/>
    </row>
    <row r="201" spans="1:10" ht="23.25" customHeight="1" x14ac:dyDescent="0.25">
      <c r="A201" s="1"/>
      <c r="B201" s="252"/>
      <c r="C201" s="18" t="s">
        <v>15</v>
      </c>
      <c r="D201" s="172"/>
      <c r="E201" s="172"/>
      <c r="F201" s="172"/>
      <c r="G201" s="1"/>
      <c r="H201" s="1"/>
      <c r="I201" s="1"/>
      <c r="J201" s="122"/>
    </row>
    <row r="202" spans="1:10" ht="15" customHeight="1" x14ac:dyDescent="0.25">
      <c r="A202" s="1"/>
      <c r="B202" s="252"/>
      <c r="C202" s="101"/>
      <c r="D202" s="172"/>
      <c r="E202" s="172"/>
      <c r="F202" s="172"/>
      <c r="G202" s="172"/>
      <c r="H202" s="1"/>
      <c r="I202" s="1"/>
      <c r="J202" s="122"/>
    </row>
    <row r="203" spans="1:10" ht="48.75" customHeight="1" x14ac:dyDescent="0.25">
      <c r="A203" s="1"/>
      <c r="B203" s="252"/>
      <c r="C203" s="68" t="s">
        <v>16</v>
      </c>
      <c r="D203" s="79" t="s">
        <v>2</v>
      </c>
      <c r="E203" s="68" t="s">
        <v>138</v>
      </c>
      <c r="F203" s="68" t="s">
        <v>139</v>
      </c>
      <c r="G203" s="68" t="s">
        <v>140</v>
      </c>
      <c r="H203" s="68" t="s">
        <v>141</v>
      </c>
      <c r="I203" s="1"/>
      <c r="J203" s="122"/>
    </row>
    <row r="204" spans="1:10" ht="15" customHeight="1" x14ac:dyDescent="0.25">
      <c r="A204" s="1"/>
      <c r="B204" s="252"/>
      <c r="C204" s="90" t="s">
        <v>4</v>
      </c>
      <c r="D204" s="124">
        <v>43839</v>
      </c>
      <c r="E204" s="124">
        <f>118.13855</f>
        <v>118.13855</v>
      </c>
      <c r="F204" s="124">
        <f>4620.17</f>
        <v>4620.17</v>
      </c>
      <c r="G204" s="124">
        <f>D204-F204</f>
        <v>39218.83</v>
      </c>
      <c r="H204" s="124">
        <f>2226.98181</f>
        <v>2226.9818100000002</v>
      </c>
      <c r="I204" s="246"/>
      <c r="J204" s="122"/>
    </row>
    <row r="205" spans="1:10" ht="15" customHeight="1" x14ac:dyDescent="0.25">
      <c r="A205" s="1"/>
      <c r="B205" s="252"/>
      <c r="C205" s="90" t="s">
        <v>68</v>
      </c>
      <c r="D205" s="124">
        <v>100</v>
      </c>
      <c r="E205" s="124">
        <f>0.075</f>
        <v>7.4999999999999997E-2</v>
      </c>
      <c r="F205" s="124">
        <f>0.446</f>
        <v>0.44600000000000001</v>
      </c>
      <c r="G205" s="124">
        <f>D205-F205</f>
        <v>99.554000000000002</v>
      </c>
      <c r="H205" s="124">
        <f>1.0333</f>
        <v>1.0333000000000001</v>
      </c>
      <c r="I205" s="246"/>
      <c r="J205" s="122"/>
    </row>
    <row r="206" spans="1:10" ht="15.75" customHeight="1" x14ac:dyDescent="0.25">
      <c r="A206" s="1"/>
      <c r="B206" s="252"/>
      <c r="C206" s="146" t="s">
        <v>82</v>
      </c>
      <c r="D206" s="168">
        <v>42</v>
      </c>
      <c r="E206" s="168"/>
      <c r="F206" s="168"/>
      <c r="G206" s="168">
        <f>D206-F206</f>
        <v>42</v>
      </c>
      <c r="H206" s="168"/>
      <c r="I206" s="246"/>
      <c r="J206" s="122"/>
    </row>
    <row r="207" spans="1:10" ht="16.5" customHeight="1" x14ac:dyDescent="0.25">
      <c r="A207" s="1"/>
      <c r="B207" s="252"/>
      <c r="C207" s="179" t="s">
        <v>88</v>
      </c>
      <c r="D207" s="190">
        <f>SUM(D204:D206)</f>
        <v>43981</v>
      </c>
      <c r="E207" s="190">
        <f>SUM(E204:E206)</f>
        <v>118.21355</v>
      </c>
      <c r="F207" s="190">
        <f>SUM(F204:F206)</f>
        <v>4620.616</v>
      </c>
      <c r="G207" s="190">
        <f>D207-F207</f>
        <v>39360.383999999998</v>
      </c>
      <c r="H207" s="190">
        <f>SUM(H204:H206)</f>
        <v>2228.0151100000003</v>
      </c>
      <c r="I207" s="246"/>
      <c r="J207" s="122"/>
    </row>
    <row r="208" spans="1:10" ht="17.100000000000001" customHeight="1" x14ac:dyDescent="0.25">
      <c r="A208" s="1"/>
      <c r="B208" s="166"/>
      <c r="C208" s="201" t="s">
        <v>89</v>
      </c>
      <c r="D208" s="109"/>
      <c r="E208" s="109"/>
      <c r="F208" s="212"/>
      <c r="G208" s="212"/>
      <c r="H208" s="212"/>
      <c r="I208" s="212"/>
      <c r="J208" s="214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120</v>
      </c>
      <c r="B242" s="1"/>
      <c r="C242" s="1"/>
      <c r="D242" s="1"/>
      <c r="E242" s="1"/>
      <c r="F242" s="1"/>
      <c r="G242" s="1"/>
      <c r="H242" s="1"/>
      <c r="I242" s="1"/>
      <c r="J242" s="216"/>
    </row>
    <row r="243" spans="1:10" ht="30" customHeight="1" x14ac:dyDescent="0.25">
      <c r="A243" s="216"/>
      <c r="B243" s="216"/>
      <c r="C243" s="217" t="s">
        <v>90</v>
      </c>
      <c r="D243" s="216"/>
      <c r="E243" s="216"/>
      <c r="F243" s="216"/>
      <c r="G243" s="216"/>
      <c r="H243" s="216"/>
      <c r="I243" s="216"/>
      <c r="J243" s="222"/>
    </row>
    <row r="244" spans="1:10" ht="30" customHeight="1" x14ac:dyDescent="0.25">
      <c r="A244" s="216" t="s">
        <v>120</v>
      </c>
      <c r="B244" s="216"/>
      <c r="C244" s="217"/>
      <c r="D244" s="216"/>
      <c r="E244" s="216"/>
      <c r="F244" s="216"/>
      <c r="G244" s="216"/>
      <c r="H244" s="216"/>
      <c r="I244" s="216"/>
      <c r="J244" s="222"/>
    </row>
    <row r="245" spans="1:10" ht="14.1" customHeight="1" x14ac:dyDescent="0.25">
      <c r="A245" s="1"/>
      <c r="B245" s="138"/>
      <c r="C245" s="176"/>
      <c r="D245" s="176"/>
      <c r="E245" s="176"/>
      <c r="F245" s="176"/>
      <c r="G245" s="176"/>
      <c r="H245" s="176"/>
      <c r="I245" s="176"/>
      <c r="J245" s="164"/>
    </row>
    <row r="246" spans="1:10" ht="14.1" customHeight="1" x14ac:dyDescent="0.25">
      <c r="A246" s="159"/>
      <c r="B246" s="54"/>
      <c r="C246" s="151" t="s">
        <v>1</v>
      </c>
      <c r="D246" s="187"/>
      <c r="E246" s="152"/>
      <c r="F246" s="152"/>
      <c r="G246" s="159"/>
      <c r="H246" s="159"/>
      <c r="I246" s="159"/>
      <c r="J246" s="122"/>
    </row>
    <row r="247" spans="1:10" ht="14.1" customHeight="1" x14ac:dyDescent="0.25">
      <c r="A247" s="1"/>
      <c r="B247" s="252"/>
      <c r="C247" s="257" t="s">
        <v>85</v>
      </c>
      <c r="D247" s="268">
        <v>3299</v>
      </c>
      <c r="E247" s="152"/>
      <c r="F247" s="223"/>
      <c r="G247" s="1"/>
      <c r="H247" s="1"/>
      <c r="I247" s="1"/>
      <c r="J247" s="122"/>
    </row>
    <row r="248" spans="1:10" ht="14.1" customHeight="1" x14ac:dyDescent="0.25">
      <c r="A248" s="1"/>
      <c r="B248" s="252"/>
      <c r="C248" s="246" t="s">
        <v>91</v>
      </c>
      <c r="D248" s="46">
        <v>9882</v>
      </c>
      <c r="E248" s="152"/>
      <c r="F248" s="223"/>
      <c r="G248" s="1"/>
      <c r="H248" s="1"/>
      <c r="I248" s="1"/>
      <c r="J248" s="122"/>
    </row>
    <row r="249" spans="1:10" ht="14.1" customHeight="1" x14ac:dyDescent="0.25">
      <c r="A249" s="1"/>
      <c r="B249" s="252"/>
      <c r="C249" s="246" t="s">
        <v>92</v>
      </c>
      <c r="D249" s="46">
        <v>8089</v>
      </c>
      <c r="E249" s="152"/>
      <c r="F249" s="223"/>
      <c r="G249" s="1"/>
      <c r="H249" s="1"/>
      <c r="I249" s="1"/>
      <c r="J249" s="122"/>
    </row>
    <row r="250" spans="1:10" ht="13.5" customHeight="1" x14ac:dyDescent="0.25">
      <c r="A250" s="1"/>
      <c r="B250" s="252"/>
      <c r="C250" s="246" t="s">
        <v>75</v>
      </c>
      <c r="D250" s="46">
        <v>382</v>
      </c>
      <c r="E250" s="152"/>
      <c r="F250" s="223"/>
      <c r="G250" s="1"/>
      <c r="H250" s="1"/>
      <c r="I250" s="1"/>
      <c r="J250" s="122"/>
    </row>
    <row r="251" spans="1:10" ht="14.25" customHeight="1" x14ac:dyDescent="0.25">
      <c r="A251" s="1"/>
      <c r="B251" s="252"/>
      <c r="C251" s="57" t="s">
        <v>50</v>
      </c>
      <c r="D251" s="35">
        <f>SUM(D247:D250)</f>
        <v>21652</v>
      </c>
      <c r="E251" s="152"/>
      <c r="F251" s="152"/>
      <c r="G251" s="1"/>
      <c r="H251" s="1"/>
      <c r="I251" s="1"/>
      <c r="J251" s="122"/>
    </row>
    <row r="252" spans="1:10" ht="14.1" customHeight="1" x14ac:dyDescent="0.25">
      <c r="A252" s="1"/>
      <c r="B252" s="252"/>
      <c r="C252" s="226" t="s">
        <v>93</v>
      </c>
      <c r="D252" s="227"/>
      <c r="E252" s="181"/>
      <c r="F252" s="181"/>
      <c r="G252" s="1"/>
      <c r="H252" s="1"/>
      <c r="I252" s="1"/>
      <c r="J252" s="122"/>
    </row>
    <row r="253" spans="1:10" ht="15" customHeight="1" x14ac:dyDescent="0.25">
      <c r="A253" s="1"/>
      <c r="B253" s="252"/>
      <c r="C253" s="101" t="s">
        <v>94</v>
      </c>
      <c r="D253" s="228"/>
      <c r="E253" s="1"/>
      <c r="F253" s="1"/>
      <c r="G253" s="1"/>
      <c r="H253" s="1"/>
      <c r="I253" s="1"/>
      <c r="J253" s="122"/>
    </row>
    <row r="254" spans="1:10" ht="14.25" customHeight="1" x14ac:dyDescent="0.25">
      <c r="A254" s="1"/>
      <c r="B254" s="252"/>
      <c r="C254" s="101" t="s">
        <v>95</v>
      </c>
      <c r="D254" s="1"/>
      <c r="E254" s="1"/>
      <c r="F254" s="1"/>
      <c r="G254" s="1"/>
      <c r="H254" s="1"/>
      <c r="I254" s="1"/>
      <c r="J254" s="122"/>
    </row>
    <row r="255" spans="1:10" ht="23.25" customHeight="1" x14ac:dyDescent="0.25">
      <c r="A255" s="1"/>
      <c r="B255" s="229"/>
      <c r="C255" s="232" t="s">
        <v>15</v>
      </c>
      <c r="D255" s="232"/>
      <c r="E255" s="232"/>
      <c r="F255" s="232"/>
      <c r="G255" s="232"/>
      <c r="H255" s="232"/>
      <c r="I255" s="232"/>
      <c r="J255" s="236"/>
    </row>
    <row r="256" spans="1:10" ht="14.1" customHeight="1" x14ac:dyDescent="0.25">
      <c r="A256" s="1"/>
      <c r="B256" s="238"/>
      <c r="C256" s="240"/>
      <c r="D256" s="240"/>
      <c r="E256" s="240"/>
      <c r="F256" s="240"/>
      <c r="G256" s="240"/>
      <c r="H256" s="240"/>
      <c r="I256" s="240"/>
      <c r="J256" s="122"/>
    </row>
    <row r="257" spans="1:10" ht="54" customHeight="1" x14ac:dyDescent="0.25">
      <c r="A257" s="1"/>
      <c r="B257" s="252"/>
      <c r="C257" s="68" t="s">
        <v>16</v>
      </c>
      <c r="D257" s="241" t="s">
        <v>2</v>
      </c>
      <c r="E257" s="68" t="s">
        <v>138</v>
      </c>
      <c r="F257" s="68" t="s">
        <v>139</v>
      </c>
      <c r="G257" s="68" t="s">
        <v>140</v>
      </c>
      <c r="H257" s="68" t="s">
        <v>141</v>
      </c>
      <c r="I257" s="1"/>
      <c r="J257" s="118"/>
    </row>
    <row r="258" spans="1:10" ht="14.1" customHeight="1" x14ac:dyDescent="0.25">
      <c r="A258" s="70"/>
      <c r="B258" s="81"/>
      <c r="C258" s="90" t="s">
        <v>96</v>
      </c>
      <c r="D258" s="124">
        <v>800</v>
      </c>
      <c r="E258" s="124">
        <f>1.11159</f>
        <v>1.1115900000000001</v>
      </c>
      <c r="F258" s="124">
        <f>52.86827</f>
        <v>52.868270000000003</v>
      </c>
      <c r="G258" s="124">
        <f>D258-F258</f>
        <v>747.13172999999995</v>
      </c>
      <c r="H258" s="124">
        <f>29.30155</f>
        <v>29.301549999999999</v>
      </c>
      <c r="I258" s="70"/>
      <c r="J258" s="242"/>
    </row>
    <row r="259" spans="1:10" ht="14.1" customHeight="1" x14ac:dyDescent="0.25">
      <c r="A259" s="1"/>
      <c r="B259" s="252"/>
      <c r="C259" s="90" t="s">
        <v>97</v>
      </c>
      <c r="D259" s="244">
        <v>2494</v>
      </c>
      <c r="E259" s="124">
        <f>3.98897</f>
        <v>3.9889700000000001</v>
      </c>
      <c r="F259" s="124">
        <f>258.88762</f>
        <v>258.88762000000003</v>
      </c>
      <c r="G259" s="124">
        <f>D259-F259</f>
        <v>2235.11238</v>
      </c>
      <c r="H259" s="124">
        <f>139.28183</f>
        <v>139.28183000000001</v>
      </c>
      <c r="I259" s="181"/>
      <c r="J259" s="118"/>
    </row>
    <row r="260" spans="1:10" ht="16.5" customHeight="1" x14ac:dyDescent="0.25">
      <c r="A260" s="70"/>
      <c r="B260" s="81"/>
      <c r="C260" s="146" t="s">
        <v>82</v>
      </c>
      <c r="D260" s="244">
        <v>5</v>
      </c>
      <c r="E260" s="168">
        <f>0</f>
        <v>0</v>
      </c>
      <c r="F260" s="168">
        <f>0.09004</f>
        <v>9.0039999999999995E-2</v>
      </c>
      <c r="G260" s="124">
        <f>D260-F260</f>
        <v>4.9099599999999999</v>
      </c>
      <c r="H260" s="168">
        <f>0.243</f>
        <v>0.24299999999999999</v>
      </c>
      <c r="I260" s="70"/>
      <c r="J260" s="247"/>
    </row>
    <row r="261" spans="1:10" ht="18.75" customHeight="1" x14ac:dyDescent="0.25">
      <c r="A261" s="70"/>
      <c r="B261" s="248"/>
      <c r="C261" s="146" t="s">
        <v>98</v>
      </c>
      <c r="D261" s="220"/>
      <c r="E261" s="168">
        <f>0.07</f>
        <v>7.0000000000000007E-2</v>
      </c>
      <c r="F261" s="168">
        <f>0.07</f>
        <v>7.0000000000000007E-2</v>
      </c>
      <c r="G261" s="124"/>
      <c r="H261" s="168">
        <f>0.15856</f>
        <v>0.15856000000000001</v>
      </c>
      <c r="I261" s="282"/>
      <c r="J261" s="122"/>
    </row>
    <row r="262" spans="1:10" ht="14.1" customHeight="1" x14ac:dyDescent="0.25">
      <c r="A262" s="1"/>
      <c r="B262" s="252"/>
      <c r="C262" s="179" t="s">
        <v>88</v>
      </c>
      <c r="D262" s="6">
        <f>D247</f>
        <v>3299</v>
      </c>
      <c r="E262" s="190">
        <f>SUM(E258:E261)</f>
        <v>5.17056</v>
      </c>
      <c r="F262" s="190">
        <f>SUM(F258:F261)</f>
        <v>311.91593</v>
      </c>
      <c r="G262" s="190">
        <f>D262-F262</f>
        <v>2987.0840699999999</v>
      </c>
      <c r="H262" s="190">
        <f>H258+H259+H260+H261</f>
        <v>168.98493999999999</v>
      </c>
      <c r="I262" s="1"/>
      <c r="J262" s="122"/>
    </row>
    <row r="263" spans="1:10" ht="14.1" customHeight="1" x14ac:dyDescent="0.25">
      <c r="A263" s="1"/>
      <c r="B263" s="252"/>
      <c r="C263" s="21"/>
      <c r="D263" s="34"/>
      <c r="E263" s="34"/>
      <c r="F263" s="34"/>
      <c r="G263" s="34"/>
      <c r="H263" s="34"/>
      <c r="I263" s="1"/>
      <c r="J263" s="122"/>
    </row>
    <row r="264" spans="1:10" ht="14.1" customHeight="1" x14ac:dyDescent="0.25">
      <c r="A264" s="1"/>
      <c r="B264" s="166"/>
      <c r="C264" s="109"/>
      <c r="D264" s="109"/>
      <c r="E264" s="109"/>
      <c r="F264" s="109"/>
      <c r="G264" s="108"/>
      <c r="H264" s="109"/>
      <c r="I264" s="109"/>
      <c r="J264" s="120"/>
    </row>
    <row r="265" spans="1:10" ht="14.1" customHeight="1" x14ac:dyDescent="0.25">
      <c r="A265" s="1"/>
      <c r="C265" s="152" t="s">
        <v>120</v>
      </c>
    </row>
    <row r="266" spans="1:10" ht="14.1" customHeight="1" x14ac:dyDescent="0.25">
      <c r="A266" s="1" t="s">
        <v>120</v>
      </c>
    </row>
    <row r="267" spans="1:10" ht="14.1" customHeight="1" x14ac:dyDescent="0.25">
      <c r="A267" s="1" t="s">
        <v>120</v>
      </c>
    </row>
    <row r="268" spans="1:10" ht="14.1" customHeight="1" x14ac:dyDescent="0.25">
      <c r="A268" s="1"/>
      <c r="C268" s="152" t="s">
        <v>120</v>
      </c>
    </row>
    <row r="269" spans="1:10" ht="36" customHeight="1" x14ac:dyDescent="0.25">
      <c r="A269" s="1"/>
      <c r="C269" s="152" t="s">
        <v>120</v>
      </c>
    </row>
    <row r="270" spans="1:10" ht="14.1" customHeight="1" x14ac:dyDescent="0.25">
      <c r="A270" s="1"/>
      <c r="C270" s="152" t="s">
        <v>120</v>
      </c>
    </row>
    <row r="271" spans="1:10" ht="14.1" customHeight="1" x14ac:dyDescent="0.25">
      <c r="A271" s="1"/>
      <c r="C271" s="152" t="s">
        <v>120</v>
      </c>
    </row>
    <row r="272" spans="1:10" ht="30" customHeight="1" x14ac:dyDescent="0.35">
      <c r="A272" s="216"/>
      <c r="B272" s="1"/>
      <c r="C272" s="213" t="s">
        <v>99</v>
      </c>
      <c r="D272" s="159"/>
      <c r="E272" s="1"/>
      <c r="F272" s="1"/>
      <c r="G272" s="1"/>
      <c r="H272" s="1"/>
      <c r="I272" s="1"/>
      <c r="J272" s="1"/>
    </row>
    <row r="273" spans="1:10" ht="17.100000000000001" customHeight="1" x14ac:dyDescent="0.25">
      <c r="B273" s="126"/>
      <c r="C273" s="237"/>
      <c r="D273" s="237"/>
      <c r="E273" s="237"/>
      <c r="F273" s="237"/>
      <c r="G273" s="237"/>
      <c r="H273" s="237"/>
      <c r="I273" s="237"/>
      <c r="J273" s="62"/>
    </row>
    <row r="274" spans="1:10" ht="6" customHeight="1" x14ac:dyDescent="0.25">
      <c r="B274" s="74"/>
      <c r="C274" s="152"/>
      <c r="D274" s="152"/>
      <c r="E274" s="152"/>
      <c r="F274" s="152"/>
      <c r="G274" s="152"/>
      <c r="H274" s="152"/>
      <c r="I274" s="152"/>
      <c r="J274" s="132"/>
    </row>
    <row r="275" spans="1:10" ht="18" customHeight="1" x14ac:dyDescent="0.25">
      <c r="B275" s="74"/>
      <c r="C275" s="151" t="s">
        <v>1</v>
      </c>
      <c r="D275" s="187"/>
      <c r="E275" s="151" t="s">
        <v>100</v>
      </c>
      <c r="F275" s="187"/>
      <c r="G275" s="151" t="s">
        <v>101</v>
      </c>
      <c r="H275" s="187"/>
      <c r="I275" s="152"/>
      <c r="J275" s="132"/>
    </row>
    <row r="276" spans="1:10" ht="14.25" customHeight="1" x14ac:dyDescent="0.25">
      <c r="B276" s="74"/>
      <c r="C276" s="257" t="s">
        <v>85</v>
      </c>
      <c r="D276" s="268">
        <v>27365</v>
      </c>
      <c r="E276" s="250" t="s">
        <v>4</v>
      </c>
      <c r="F276" s="105">
        <v>13865</v>
      </c>
      <c r="G276" s="246" t="s">
        <v>20</v>
      </c>
      <c r="H276" s="46">
        <v>6472</v>
      </c>
      <c r="I276" s="152"/>
      <c r="J276" s="132"/>
    </row>
    <row r="277" spans="1:10" ht="14.25" customHeight="1" x14ac:dyDescent="0.25">
      <c r="B277" s="74"/>
      <c r="C277" s="246" t="s">
        <v>92</v>
      </c>
      <c r="D277" s="46">
        <v>19433</v>
      </c>
      <c r="E277" s="181" t="s">
        <v>97</v>
      </c>
      <c r="F277" s="49">
        <v>8000</v>
      </c>
      <c r="G277" s="246" t="s">
        <v>21</v>
      </c>
      <c r="H277" s="46">
        <v>1684</v>
      </c>
      <c r="I277" s="152"/>
      <c r="J277" s="132"/>
    </row>
    <row r="278" spans="1:10" ht="14.25" customHeight="1" x14ac:dyDescent="0.25">
      <c r="B278" s="74"/>
      <c r="C278" s="246" t="s">
        <v>91</v>
      </c>
      <c r="D278" s="46">
        <v>6186</v>
      </c>
      <c r="E278" s="181" t="s">
        <v>60</v>
      </c>
      <c r="F278" s="49">
        <v>5500</v>
      </c>
      <c r="G278" s="246" t="s">
        <v>102</v>
      </c>
      <c r="H278" s="46">
        <v>4296</v>
      </c>
      <c r="I278" s="152"/>
      <c r="J278" s="132"/>
    </row>
    <row r="279" spans="1:10" ht="14.1" customHeight="1" x14ac:dyDescent="0.25">
      <c r="B279" s="74"/>
      <c r="C279" s="246"/>
      <c r="D279" s="46"/>
      <c r="E279" s="133"/>
      <c r="F279" s="147"/>
      <c r="G279" s="246" t="s">
        <v>103</v>
      </c>
      <c r="H279" s="46">
        <v>1313</v>
      </c>
      <c r="I279" s="152"/>
      <c r="J279" s="132"/>
    </row>
    <row r="280" spans="1:10" ht="14.1" customHeight="1" x14ac:dyDescent="0.25">
      <c r="B280" s="74"/>
      <c r="C280" s="57" t="s">
        <v>50</v>
      </c>
      <c r="D280" s="35">
        <v>53374</v>
      </c>
      <c r="E280" s="175" t="s">
        <v>104</v>
      </c>
      <c r="F280" s="35">
        <f>F276+F277+F278</f>
        <v>27365</v>
      </c>
      <c r="G280" s="57" t="s">
        <v>4</v>
      </c>
      <c r="H280" s="35">
        <f>SUM(H276:H279)</f>
        <v>13765</v>
      </c>
      <c r="I280" s="152"/>
      <c r="J280" s="132"/>
    </row>
    <row r="281" spans="1:10" ht="13.35" customHeight="1" x14ac:dyDescent="0.25">
      <c r="B281" s="74"/>
      <c r="C281" s="101" t="s">
        <v>121</v>
      </c>
      <c r="D281" s="181"/>
      <c r="E281" s="181"/>
      <c r="F281" s="181"/>
      <c r="G281" s="1"/>
      <c r="H281" s="181"/>
      <c r="I281" s="181"/>
      <c r="J281" s="242"/>
    </row>
    <row r="282" spans="1:10" ht="13.35" customHeight="1" x14ac:dyDescent="0.25">
      <c r="B282" s="74"/>
      <c r="C282" s="101" t="s">
        <v>105</v>
      </c>
      <c r="D282" s="1"/>
      <c r="E282" s="1"/>
      <c r="F282" s="1"/>
      <c r="G282" s="1"/>
      <c r="H282" s="1"/>
      <c r="I282" s="1"/>
      <c r="J282" s="122"/>
    </row>
    <row r="283" spans="1:10" ht="9.75" customHeight="1" x14ac:dyDescent="0.25">
      <c r="B283" s="74"/>
      <c r="C283" s="101"/>
      <c r="D283" s="1"/>
      <c r="E283" s="1"/>
      <c r="F283" s="1"/>
      <c r="G283" s="1"/>
      <c r="H283" s="1"/>
      <c r="I283" s="1"/>
      <c r="J283" s="122"/>
    </row>
    <row r="284" spans="1:10" ht="18" customHeight="1" x14ac:dyDescent="0.25">
      <c r="B284" s="74"/>
      <c r="C284" s="152"/>
      <c r="D284" s="152"/>
      <c r="E284" s="152"/>
      <c r="F284" s="152"/>
      <c r="G284" s="152"/>
      <c r="H284" s="152"/>
      <c r="I284" s="152"/>
      <c r="J284" s="132"/>
    </row>
    <row r="285" spans="1:10" ht="29.25" customHeight="1" x14ac:dyDescent="0.25">
      <c r="B285" s="229"/>
      <c r="C285" s="232" t="s">
        <v>15</v>
      </c>
      <c r="D285" s="232"/>
      <c r="E285" s="232"/>
      <c r="F285" s="232"/>
      <c r="G285" s="232"/>
      <c r="H285" s="232"/>
      <c r="I285" s="232"/>
      <c r="J285" s="236"/>
    </row>
    <row r="286" spans="1:10" ht="18.75" customHeight="1" x14ac:dyDescent="0.25">
      <c r="B286" s="200"/>
      <c r="C286" s="222"/>
      <c r="D286" s="222"/>
      <c r="E286" s="222"/>
      <c r="F286" s="222"/>
      <c r="G286" s="222"/>
      <c r="H286" s="222"/>
      <c r="I286" s="222"/>
      <c r="J286" s="13"/>
    </row>
    <row r="287" spans="1:10" ht="64.5" customHeight="1" x14ac:dyDescent="0.25">
      <c r="B287" s="74"/>
      <c r="C287" s="221" t="s">
        <v>16</v>
      </c>
      <c r="D287" s="230" t="s">
        <v>17</v>
      </c>
      <c r="E287" s="68" t="s">
        <v>106</v>
      </c>
      <c r="F287" s="221" t="s">
        <v>138</v>
      </c>
      <c r="G287" s="221" t="s">
        <v>139</v>
      </c>
      <c r="H287" s="221" t="s">
        <v>140</v>
      </c>
      <c r="I287" s="221" t="s">
        <v>141</v>
      </c>
      <c r="J287" s="132"/>
    </row>
    <row r="288" spans="1:10" ht="14.1" customHeight="1" x14ac:dyDescent="0.25">
      <c r="A288" s="216"/>
      <c r="B288" s="74"/>
      <c r="C288" s="245" t="s">
        <v>19</v>
      </c>
      <c r="D288" s="249">
        <f t="shared" ref="D288:I288" si="14">D292+D291+D290+D289</f>
        <v>13765</v>
      </c>
      <c r="E288" s="249">
        <f t="shared" si="14"/>
        <v>16102</v>
      </c>
      <c r="F288" s="251">
        <f t="shared" si="14"/>
        <v>4.2169400000000001</v>
      </c>
      <c r="G288" s="251">
        <f t="shared" si="14"/>
        <v>1175.38942</v>
      </c>
      <c r="H288" s="251">
        <f>H292+H291+H290+H289</f>
        <v>14926.61058</v>
      </c>
      <c r="I288" s="251">
        <f t="shared" si="14"/>
        <v>540.93373999999994</v>
      </c>
      <c r="J288" s="132"/>
    </row>
    <row r="289" spans="1:10" ht="14.1" customHeight="1" x14ac:dyDescent="0.25">
      <c r="A289" s="216"/>
      <c r="B289" s="74"/>
      <c r="C289" s="253" t="s">
        <v>107</v>
      </c>
      <c r="D289" s="254">
        <v>6472</v>
      </c>
      <c r="E289" s="254">
        <v>8177</v>
      </c>
      <c r="F289" s="255">
        <f>0</f>
        <v>0</v>
      </c>
      <c r="G289" s="255">
        <f>884.0745</f>
        <v>884.07449999999994</v>
      </c>
      <c r="H289" s="255">
        <f t="shared" ref="H289:H293" si="15">E289-G289</f>
        <v>7292.9255000000003</v>
      </c>
      <c r="I289" s="255">
        <f>112.0851</f>
        <v>112.0851</v>
      </c>
      <c r="J289" s="132"/>
    </row>
    <row r="290" spans="1:10" ht="14.1" customHeight="1" x14ac:dyDescent="0.25">
      <c r="A290" s="216"/>
      <c r="B290" s="74"/>
      <c r="C290" s="258" t="s">
        <v>21</v>
      </c>
      <c r="D290" s="254">
        <v>1684</v>
      </c>
      <c r="E290" s="254">
        <v>2128</v>
      </c>
      <c r="F290" s="255">
        <f>0</f>
        <v>0</v>
      </c>
      <c r="G290" s="255">
        <f>0</f>
        <v>0</v>
      </c>
      <c r="H290" s="255">
        <f t="shared" si="15"/>
        <v>2128</v>
      </c>
      <c r="I290" s="255">
        <f>280.6002</f>
        <v>280.60019999999997</v>
      </c>
      <c r="J290" s="132"/>
    </row>
    <row r="291" spans="1:10" ht="14.1" customHeight="1" x14ac:dyDescent="0.25">
      <c r="A291" s="216"/>
      <c r="B291" s="74"/>
      <c r="C291" s="258" t="s">
        <v>103</v>
      </c>
      <c r="D291" s="254">
        <v>1313</v>
      </c>
      <c r="E291" s="254">
        <v>1357</v>
      </c>
      <c r="F291" s="255">
        <f>4.21694</f>
        <v>4.2169400000000001</v>
      </c>
      <c r="G291" s="255">
        <f>273.05912</f>
        <v>273.05912000000001</v>
      </c>
      <c r="H291" s="255">
        <f t="shared" si="15"/>
        <v>1083.9408800000001</v>
      </c>
      <c r="I291" s="255">
        <f>144.71724</f>
        <v>144.71724</v>
      </c>
      <c r="J291" s="132"/>
    </row>
    <row r="292" spans="1:10" ht="14.1" customHeight="1" x14ac:dyDescent="0.25">
      <c r="A292" s="216"/>
      <c r="B292" s="74"/>
      <c r="C292" s="260" t="s">
        <v>108</v>
      </c>
      <c r="D292" s="261">
        <v>4296</v>
      </c>
      <c r="E292" s="261">
        <v>4440</v>
      </c>
      <c r="F292" s="255">
        <f>0</f>
        <v>0</v>
      </c>
      <c r="G292" s="255">
        <f>18.2558</f>
        <v>18.255800000000001</v>
      </c>
      <c r="H292" s="255">
        <f t="shared" si="15"/>
        <v>4421.7442000000001</v>
      </c>
      <c r="I292" s="255">
        <f>3.5312</f>
        <v>3.5312000000000001</v>
      </c>
      <c r="J292" s="132"/>
    </row>
    <row r="293" spans="1:10" ht="14.1" customHeight="1" x14ac:dyDescent="0.25">
      <c r="A293" s="216"/>
      <c r="B293" s="74"/>
      <c r="C293" s="263" t="s">
        <v>60</v>
      </c>
      <c r="D293" s="264">
        <v>5500</v>
      </c>
      <c r="E293" s="264">
        <v>5500</v>
      </c>
      <c r="F293" s="266">
        <f>0.1</f>
        <v>0.1</v>
      </c>
      <c r="G293" s="266">
        <f>18.501</f>
        <v>18.501000000000001</v>
      </c>
      <c r="H293" s="266">
        <f t="shared" si="15"/>
        <v>5481.4989999999998</v>
      </c>
      <c r="I293" s="266">
        <f>107.83502</f>
        <v>107.83502</v>
      </c>
      <c r="J293" s="132"/>
    </row>
    <row r="294" spans="1:10" ht="14.1" customHeight="1" x14ac:dyDescent="0.25">
      <c r="A294" s="216"/>
      <c r="B294" s="74"/>
      <c r="C294" s="245" t="s">
        <v>22</v>
      </c>
      <c r="D294" s="249">
        <v>8000</v>
      </c>
      <c r="E294" s="249">
        <v>8000</v>
      </c>
      <c r="F294" s="267">
        <f>F296+F295</f>
        <v>219.68343000000002</v>
      </c>
      <c r="G294" s="267">
        <f>G296+G295</f>
        <v>918.82748000000004</v>
      </c>
      <c r="H294" s="267">
        <f>E294-G294</f>
        <v>7081.1725200000001</v>
      </c>
      <c r="I294" s="267">
        <f>I296+I295</f>
        <v>1141.3948600000001</v>
      </c>
      <c r="J294" s="132"/>
    </row>
    <row r="295" spans="1:10" ht="14.1" customHeight="1" x14ac:dyDescent="0.25">
      <c r="A295" s="216"/>
      <c r="B295" s="74"/>
      <c r="C295" s="258" t="s">
        <v>54</v>
      </c>
      <c r="D295" s="269"/>
      <c r="E295" s="254"/>
      <c r="F295" s="255">
        <f>211.6827</f>
        <v>211.68270000000001</v>
      </c>
      <c r="G295" s="255">
        <f>426.4893</f>
        <v>426.48930000000001</v>
      </c>
      <c r="H295" s="255"/>
      <c r="I295" s="255">
        <f>644.65231</f>
        <v>644.65231000000006</v>
      </c>
      <c r="J295" s="132"/>
    </row>
    <row r="296" spans="1:10" ht="14.1" customHeight="1" x14ac:dyDescent="0.25">
      <c r="A296" s="216"/>
      <c r="B296" s="74"/>
      <c r="C296" s="271" t="s">
        <v>109</v>
      </c>
      <c r="D296" s="272"/>
      <c r="E296" s="275"/>
      <c r="F296" s="276">
        <f>8.00073</f>
        <v>8.0007300000000008</v>
      </c>
      <c r="G296" s="276">
        <f>492.33818</f>
        <v>492.33818000000002</v>
      </c>
      <c r="H296" s="276"/>
      <c r="I296" s="276">
        <f>496.74255</f>
        <v>496.74254999999999</v>
      </c>
      <c r="J296" s="132"/>
    </row>
    <row r="297" spans="1:10" ht="14.1" customHeight="1" x14ac:dyDescent="0.25">
      <c r="A297" s="216"/>
      <c r="B297" s="74"/>
      <c r="C297" s="263" t="s">
        <v>34</v>
      </c>
      <c r="D297" s="264">
        <v>10</v>
      </c>
      <c r="E297" s="264">
        <v>10</v>
      </c>
      <c r="F297" s="266">
        <f>0</f>
        <v>0</v>
      </c>
      <c r="G297" s="266">
        <f>0.0567</f>
        <v>5.67E-2</v>
      </c>
      <c r="H297" s="266">
        <f>E297-G297</f>
        <v>9.9433000000000007</v>
      </c>
      <c r="I297" s="266">
        <f>0.0918</f>
        <v>9.1800000000000007E-2</v>
      </c>
      <c r="J297" s="132"/>
    </row>
    <row r="298" spans="1:10" ht="14.1" customHeight="1" x14ac:dyDescent="0.25">
      <c r="A298" s="216"/>
      <c r="B298" s="74"/>
      <c r="C298" s="277" t="s">
        <v>110</v>
      </c>
      <c r="D298" s="280"/>
      <c r="E298" s="281"/>
      <c r="F298" s="266">
        <f>0.1272</f>
        <v>0.12720000000000001</v>
      </c>
      <c r="G298" s="266">
        <f>1.15768</f>
        <v>1.15768</v>
      </c>
      <c r="H298" s="266">
        <f>E298-G298</f>
        <v>-1.15768</v>
      </c>
      <c r="I298" s="266">
        <f>11.98901</f>
        <v>11.98901</v>
      </c>
      <c r="J298" s="132"/>
    </row>
    <row r="299" spans="1:10" ht="19.5" customHeight="1" x14ac:dyDescent="0.25">
      <c r="A299" s="216"/>
      <c r="B299" s="74"/>
      <c r="C299" s="283" t="s">
        <v>41</v>
      </c>
      <c r="D299" s="284">
        <f>D288+D293+D294+D297+D298</f>
        <v>27275</v>
      </c>
      <c r="E299" s="284">
        <f>E288+E293+E294+E297+E298</f>
        <v>29612</v>
      </c>
      <c r="F299" s="285">
        <f t="shared" ref="F299:I299" si="16">F288+F293+F294+F297+F298</f>
        <v>224.12756999999999</v>
      </c>
      <c r="G299" s="285">
        <f t="shared" si="16"/>
        <v>2113.93228</v>
      </c>
      <c r="H299" s="285">
        <f>H288+H293+H294+H297+H298</f>
        <v>27498.067719999999</v>
      </c>
      <c r="I299" s="285">
        <f t="shared" si="16"/>
        <v>1802.24443</v>
      </c>
      <c r="J299" s="132"/>
    </row>
    <row r="300" spans="1:10" ht="14.1" customHeight="1" x14ac:dyDescent="0.25">
      <c r="A300" s="216"/>
      <c r="B300" s="74"/>
      <c r="C300" s="163" t="s">
        <v>111</v>
      </c>
      <c r="D300" s="287"/>
      <c r="E300" s="287"/>
      <c r="F300" s="4"/>
      <c r="G300" s="4"/>
      <c r="H300" s="5"/>
      <c r="I300" s="5"/>
      <c r="J300" s="132"/>
    </row>
    <row r="301" spans="1:10" ht="14.1" customHeight="1" x14ac:dyDescent="0.25">
      <c r="A301" s="216"/>
      <c r="B301" s="74"/>
      <c r="C301" s="101" t="s">
        <v>122</v>
      </c>
      <c r="D301" s="287"/>
      <c r="E301" s="287"/>
      <c r="F301" s="4"/>
      <c r="G301" s="4"/>
      <c r="H301" s="7"/>
      <c r="I301" s="5"/>
      <c r="J301" s="132"/>
    </row>
    <row r="302" spans="1:10" ht="14.1" customHeight="1" x14ac:dyDescent="0.25">
      <c r="A302" s="216"/>
      <c r="B302" s="74"/>
      <c r="C302" s="101" t="s">
        <v>123</v>
      </c>
      <c r="D302" s="287"/>
      <c r="E302" s="287"/>
      <c r="F302" s="4"/>
      <c r="G302" s="4"/>
      <c r="H302" s="5"/>
      <c r="I302" s="7"/>
      <c r="J302" s="132"/>
    </row>
    <row r="303" spans="1:10" ht="15.75" customHeight="1" x14ac:dyDescent="0.25">
      <c r="A303" s="216"/>
      <c r="B303" s="8"/>
      <c r="C303" s="9"/>
      <c r="D303" s="109"/>
      <c r="E303" s="109"/>
      <c r="F303" s="109"/>
      <c r="G303" s="109"/>
      <c r="H303" s="109"/>
      <c r="I303" s="109"/>
      <c r="J303" s="12"/>
    </row>
    <row r="304" spans="1:10" ht="15.75" customHeight="1" x14ac:dyDescent="0.25">
      <c r="A304" s="216"/>
      <c r="B304" s="152" t="s">
        <v>120</v>
      </c>
      <c r="C304" s="14"/>
      <c r="D304" s="1"/>
      <c r="E304" s="1"/>
      <c r="F304" s="1"/>
      <c r="G304" s="1"/>
      <c r="H304" s="1"/>
      <c r="I304" s="1"/>
      <c r="J304" s="152"/>
    </row>
    <row r="305" spans="1:10" ht="15.75" customHeight="1" x14ac:dyDescent="0.25">
      <c r="A305" s="216"/>
      <c r="B305" s="152" t="s">
        <v>120</v>
      </c>
      <c r="C305" s="14"/>
      <c r="D305" s="1"/>
      <c r="E305" s="1"/>
      <c r="F305" s="1"/>
      <c r="G305" s="1"/>
      <c r="H305" s="1"/>
      <c r="I305" s="1"/>
      <c r="J305" s="152"/>
    </row>
    <row r="306" spans="1:10" ht="14.1" customHeight="1" x14ac:dyDescent="0.25">
      <c r="A306" s="216"/>
      <c r="C306" s="152" t="s">
        <v>120</v>
      </c>
      <c r="D306" s="159"/>
    </row>
    <row r="307" spans="1:10" ht="14.1" customHeight="1" x14ac:dyDescent="0.25">
      <c r="A307" s="216"/>
      <c r="B307" s="126"/>
      <c r="C307" s="237"/>
      <c r="D307" s="17"/>
      <c r="E307" s="237"/>
      <c r="F307" s="237"/>
      <c r="G307" s="237"/>
      <c r="H307" s="237"/>
      <c r="I307" s="237"/>
      <c r="J307" s="62"/>
    </row>
    <row r="308" spans="1:10" ht="14.1" customHeight="1" x14ac:dyDescent="0.25">
      <c r="A308" s="216"/>
      <c r="B308" s="74"/>
      <c r="C308" s="217" t="s">
        <v>112</v>
      </c>
      <c r="D308" s="159"/>
      <c r="E308" s="152"/>
      <c r="G308" s="152"/>
      <c r="H308" s="152"/>
      <c r="I308" s="152"/>
      <c r="J308" s="132"/>
    </row>
    <row r="309" spans="1:10" ht="14.1" customHeight="1" x14ac:dyDescent="0.25">
      <c r="A309" s="216"/>
      <c r="B309" s="74"/>
      <c r="C309" s="152"/>
      <c r="D309" s="159"/>
      <c r="E309" s="152"/>
      <c r="G309" s="152"/>
      <c r="H309" s="152"/>
      <c r="I309" s="152"/>
      <c r="J309" s="132"/>
    </row>
    <row r="310" spans="1:10" ht="14.1" customHeight="1" x14ac:dyDescent="0.25">
      <c r="A310" s="216"/>
      <c r="B310" s="74"/>
      <c r="C310" s="151" t="s">
        <v>113</v>
      </c>
      <c r="D310" s="187"/>
      <c r="E310" s="152"/>
      <c r="F310" s="152"/>
      <c r="G310" s="152"/>
      <c r="H310" s="152"/>
      <c r="I310" s="152"/>
      <c r="J310" s="132"/>
    </row>
    <row r="311" spans="1:10" ht="14.1" customHeight="1" x14ac:dyDescent="0.25">
      <c r="A311" s="216"/>
      <c r="B311" s="74"/>
      <c r="C311" s="257" t="s">
        <v>85</v>
      </c>
      <c r="D311" s="268">
        <v>3360</v>
      </c>
      <c r="E311" s="152"/>
      <c r="F311" s="152"/>
      <c r="G311" s="152"/>
      <c r="H311" s="152"/>
      <c r="I311" s="152"/>
      <c r="J311" s="132"/>
    </row>
    <row r="312" spans="1:10" ht="14.1" customHeight="1" x14ac:dyDescent="0.25">
      <c r="A312" s="216"/>
      <c r="B312" s="74"/>
      <c r="C312" s="246" t="s">
        <v>92</v>
      </c>
      <c r="D312" s="46">
        <v>2399</v>
      </c>
      <c r="E312" s="152"/>
      <c r="G312" s="152"/>
      <c r="H312" s="152"/>
      <c r="I312" s="152"/>
      <c r="J312" s="132"/>
    </row>
    <row r="313" spans="1:10" ht="14.1" customHeight="1" x14ac:dyDescent="0.25">
      <c r="A313" s="216"/>
      <c r="B313" s="74"/>
      <c r="C313" s="246" t="s">
        <v>75</v>
      </c>
      <c r="D313" s="46">
        <v>123</v>
      </c>
      <c r="E313" s="152"/>
      <c r="F313" s="152"/>
      <c r="G313" s="152"/>
      <c r="H313" s="152"/>
      <c r="I313" s="152"/>
      <c r="J313" s="132"/>
    </row>
    <row r="314" spans="1:10" ht="14.1" customHeight="1" x14ac:dyDescent="0.25">
      <c r="A314" s="216"/>
      <c r="B314" s="74"/>
      <c r="C314" s="57" t="s">
        <v>50</v>
      </c>
      <c r="D314" s="35">
        <v>5882</v>
      </c>
      <c r="E314" s="152"/>
      <c r="F314" s="152"/>
      <c r="G314" s="152"/>
      <c r="H314" s="152"/>
      <c r="I314" s="152"/>
      <c r="J314" s="132"/>
    </row>
    <row r="315" spans="1:10" ht="14.1" customHeight="1" x14ac:dyDescent="0.25">
      <c r="A315" s="216"/>
      <c r="B315" s="74"/>
      <c r="C315" s="226" t="s">
        <v>114</v>
      </c>
      <c r="D315" s="147"/>
      <c r="E315" s="152"/>
      <c r="F315" s="152"/>
      <c r="G315" s="152"/>
      <c r="H315" s="152"/>
      <c r="I315" s="152"/>
      <c r="J315" s="132"/>
    </row>
    <row r="316" spans="1:10" ht="14.1" customHeight="1" x14ac:dyDescent="0.25">
      <c r="A316" s="216"/>
      <c r="B316" s="74"/>
      <c r="C316" s="101" t="s">
        <v>124</v>
      </c>
      <c r="D316" s="133"/>
      <c r="E316" s="152"/>
      <c r="F316" s="152"/>
      <c r="G316" s="152"/>
      <c r="H316" s="152"/>
      <c r="I316" s="152"/>
      <c r="J316" s="132"/>
    </row>
    <row r="317" spans="1:10" ht="14.1" customHeight="1" x14ac:dyDescent="0.25">
      <c r="A317" s="216"/>
      <c r="B317" s="74"/>
      <c r="C317" s="152"/>
      <c r="D317" s="159"/>
      <c r="E317" s="152"/>
      <c r="F317" s="152"/>
      <c r="G317" s="152"/>
      <c r="H317" s="152"/>
      <c r="I317" s="152"/>
      <c r="J317" s="132"/>
    </row>
    <row r="318" spans="1:10" ht="14.1" customHeight="1" x14ac:dyDescent="0.25">
      <c r="A318" s="216"/>
      <c r="B318" s="74"/>
      <c r="C318" s="152"/>
      <c r="D318" s="152"/>
      <c r="E318" s="152"/>
      <c r="F318" s="152"/>
      <c r="G318" s="152"/>
      <c r="H318" s="152"/>
      <c r="I318" s="152"/>
      <c r="J318" s="132"/>
    </row>
    <row r="319" spans="1:10" ht="29.25" customHeight="1" x14ac:dyDescent="0.25">
      <c r="A319" s="216"/>
      <c r="B319" s="229"/>
      <c r="C319" s="232" t="s">
        <v>15</v>
      </c>
      <c r="D319" s="232"/>
      <c r="E319" s="232"/>
      <c r="F319" s="232"/>
      <c r="G319" s="232"/>
      <c r="H319" s="232"/>
      <c r="I319" s="232"/>
      <c r="J319" s="236"/>
    </row>
    <row r="320" spans="1:10" ht="78" customHeight="1" x14ac:dyDescent="0.25">
      <c r="A320" s="216"/>
      <c r="B320" s="200"/>
      <c r="C320" s="20" t="s">
        <v>115</v>
      </c>
      <c r="D320" s="22" t="s">
        <v>116</v>
      </c>
      <c r="E320" s="20" t="s">
        <v>138</v>
      </c>
      <c r="F320" s="20" t="s">
        <v>139</v>
      </c>
      <c r="G320" s="25" t="s">
        <v>140</v>
      </c>
      <c r="H320" s="20" t="s">
        <v>141</v>
      </c>
      <c r="I320" s="222"/>
      <c r="J320" s="13"/>
    </row>
    <row r="321" spans="1:10" ht="14.1" customHeight="1" x14ac:dyDescent="0.25">
      <c r="A321" s="216"/>
      <c r="B321" s="74"/>
      <c r="C321" s="263" t="s">
        <v>117</v>
      </c>
      <c r="D321" s="10">
        <v>2241</v>
      </c>
      <c r="E321" s="26">
        <f>E323+E322</f>
        <v>116.73849999999999</v>
      </c>
      <c r="F321" s="26">
        <f>F323+F322</f>
        <v>1159.1175499999999</v>
      </c>
      <c r="G321" s="87">
        <f>D321-F321</f>
        <v>1081.8824500000001</v>
      </c>
      <c r="H321" s="26">
        <f>SUM(H322:H323)</f>
        <v>690.05405000000007</v>
      </c>
      <c r="I321" s="27"/>
      <c r="J321" s="132"/>
    </row>
    <row r="322" spans="1:10" ht="14.1" customHeight="1" x14ac:dyDescent="0.25">
      <c r="A322" s="216"/>
      <c r="B322" s="74"/>
      <c r="C322" s="29" t="s">
        <v>8</v>
      </c>
      <c r="D322" s="206"/>
      <c r="E322" s="207">
        <f>94.1385</f>
        <v>94.138499999999993</v>
      </c>
      <c r="F322" s="207">
        <f>976.54395</f>
        <v>976.54395</v>
      </c>
      <c r="G322" s="208"/>
      <c r="H322" s="207">
        <f>580.68875</f>
        <v>580.68875000000003</v>
      </c>
      <c r="I322" s="152"/>
      <c r="J322" s="132"/>
    </row>
    <row r="323" spans="1:10" ht="14.1" customHeight="1" x14ac:dyDescent="0.25">
      <c r="A323" s="216"/>
      <c r="B323" s="74"/>
      <c r="C323" s="29" t="s">
        <v>11</v>
      </c>
      <c r="D323" s="209"/>
      <c r="E323" s="210">
        <f>22.6</f>
        <v>22.6</v>
      </c>
      <c r="F323" s="210">
        <f>182.5736</f>
        <v>182.5736</v>
      </c>
      <c r="G323" s="211"/>
      <c r="H323" s="210">
        <f>109.3653</f>
        <v>109.3653</v>
      </c>
      <c r="I323" s="152"/>
      <c r="J323" s="132"/>
    </row>
    <row r="324" spans="1:10" ht="14.1" customHeight="1" x14ac:dyDescent="0.25">
      <c r="A324" s="216"/>
      <c r="B324" s="74"/>
      <c r="C324" s="263" t="s">
        <v>118</v>
      </c>
      <c r="D324" s="10">
        <v>1120</v>
      </c>
      <c r="E324" s="26">
        <f>SUM(E325:E326)</f>
        <v>0</v>
      </c>
      <c r="F324" s="26">
        <f>SUM(F325:F326)</f>
        <v>0</v>
      </c>
      <c r="G324" s="87">
        <f>D324-F324</f>
        <v>1120</v>
      </c>
      <c r="H324" s="26">
        <f>SUM(H325:H326)</f>
        <v>0</v>
      </c>
      <c r="I324" s="27"/>
      <c r="J324" s="132"/>
    </row>
    <row r="325" spans="1:10" ht="14.1" customHeight="1" x14ac:dyDescent="0.25">
      <c r="A325" s="216"/>
      <c r="B325" s="74"/>
      <c r="C325" s="29" t="s">
        <v>8</v>
      </c>
      <c r="D325" s="44"/>
      <c r="E325" s="30">
        <f>0</f>
        <v>0</v>
      </c>
      <c r="F325" s="30">
        <f>0</f>
        <v>0</v>
      </c>
      <c r="G325" s="99"/>
      <c r="H325" s="30">
        <f>0</f>
        <v>0</v>
      </c>
      <c r="I325" s="152"/>
      <c r="J325" s="132"/>
    </row>
    <row r="326" spans="1:10" ht="14.1" customHeight="1" x14ac:dyDescent="0.25">
      <c r="A326" s="216"/>
      <c r="B326" s="74"/>
      <c r="C326" s="29" t="s">
        <v>11</v>
      </c>
      <c r="D326" s="219"/>
      <c r="E326" s="30">
        <f>0</f>
        <v>0</v>
      </c>
      <c r="F326" s="30">
        <f>0</f>
        <v>0</v>
      </c>
      <c r="G326" s="110"/>
      <c r="H326" s="30">
        <f>0</f>
        <v>0</v>
      </c>
      <c r="I326" s="152"/>
      <c r="J326" s="132"/>
    </row>
    <row r="327" spans="1:10" ht="14.1" customHeight="1" x14ac:dyDescent="0.25">
      <c r="A327" s="216"/>
      <c r="B327" s="74"/>
      <c r="C327" s="263" t="s">
        <v>119</v>
      </c>
      <c r="D327" s="10">
        <v>0</v>
      </c>
      <c r="E327" s="36">
        <f>SUM(E328:E329)</f>
        <v>0</v>
      </c>
      <c r="F327" s="36">
        <f>SUM(F328:F329)</f>
        <v>0</v>
      </c>
      <c r="G327" s="87">
        <f>D327-F327</f>
        <v>0</v>
      </c>
      <c r="H327" s="36">
        <f>SUM(H328:H329)</f>
        <v>0</v>
      </c>
      <c r="I327" s="152"/>
      <c r="J327" s="132"/>
    </row>
    <row r="328" spans="1:10" ht="14.1" customHeight="1" x14ac:dyDescent="0.25">
      <c r="A328" s="216"/>
      <c r="B328" s="74"/>
      <c r="C328" s="29" t="s">
        <v>8</v>
      </c>
      <c r="D328" s="44"/>
      <c r="E328" s="30">
        <f>0</f>
        <v>0</v>
      </c>
      <c r="F328" s="30">
        <f>0</f>
        <v>0</v>
      </c>
      <c r="G328" s="99"/>
      <c r="H328" s="30">
        <f>0</f>
        <v>0</v>
      </c>
      <c r="I328" s="152"/>
      <c r="J328" s="132"/>
    </row>
    <row r="329" spans="1:10" ht="14.1" customHeight="1" x14ac:dyDescent="0.25">
      <c r="A329" s="216"/>
      <c r="B329" s="74"/>
      <c r="C329" s="29" t="s">
        <v>11</v>
      </c>
      <c r="D329" s="219"/>
      <c r="E329" s="30">
        <f>0</f>
        <v>0</v>
      </c>
      <c r="F329" s="30">
        <f>0</f>
        <v>0</v>
      </c>
      <c r="G329" s="110"/>
      <c r="H329" s="30">
        <f>0</f>
        <v>0</v>
      </c>
      <c r="I329" s="152"/>
      <c r="J329" s="132"/>
    </row>
    <row r="330" spans="1:10" ht="14.1" customHeight="1" x14ac:dyDescent="0.25">
      <c r="A330" s="216"/>
      <c r="B330" s="74"/>
      <c r="C330" s="277" t="s">
        <v>98</v>
      </c>
      <c r="D330" s="37"/>
      <c r="E330" s="39"/>
      <c r="F330" s="39"/>
      <c r="G330" s="40"/>
      <c r="H330" s="39"/>
      <c r="I330" s="152"/>
      <c r="J330" s="132"/>
    </row>
    <row r="331" spans="1:10" ht="14.1" customHeight="1" x14ac:dyDescent="0.25">
      <c r="A331" s="216"/>
      <c r="B331" s="74"/>
      <c r="C331" s="283" t="s">
        <v>88</v>
      </c>
      <c r="D331" s="41">
        <f>D321+D324+D327</f>
        <v>3361</v>
      </c>
      <c r="E331" s="42">
        <f>E321+E324+E327+E330</f>
        <v>116.73849999999999</v>
      </c>
      <c r="F331" s="42">
        <f>F321+F324+F327+F330</f>
        <v>1159.1175499999999</v>
      </c>
      <c r="G331" s="43">
        <f>SUM(G321:G330)</f>
        <v>2201.8824500000001</v>
      </c>
      <c r="H331" s="42">
        <f>H321+H324+H327+H330</f>
        <v>690.05405000000007</v>
      </c>
      <c r="I331" s="27"/>
      <c r="J331" s="132"/>
    </row>
    <row r="332" spans="1:10" ht="14.1" customHeight="1" x14ac:dyDescent="0.25">
      <c r="A332" s="216"/>
      <c r="B332" s="74"/>
      <c r="C332" s="152"/>
      <c r="D332" s="159"/>
      <c r="E332" s="152"/>
      <c r="F332" s="152"/>
      <c r="G332" s="152"/>
      <c r="H332" s="152"/>
      <c r="I332" s="152"/>
      <c r="J332" s="132"/>
    </row>
    <row r="333" spans="1:10" ht="14.1" customHeight="1" x14ac:dyDescent="0.25">
      <c r="A333" s="216"/>
      <c r="B333" s="8"/>
      <c r="C333" s="212"/>
      <c r="D333" s="202"/>
      <c r="E333" s="212"/>
      <c r="F333" s="212"/>
      <c r="G333" s="212"/>
      <c r="H333" s="212"/>
      <c r="I333" s="212"/>
      <c r="J333" s="12"/>
    </row>
    <row r="334" spans="1:10" ht="0" hidden="1" customHeight="1" x14ac:dyDescent="0.25"/>
    <row r="335" spans="1:10" ht="0" hidden="1" customHeight="1" x14ac:dyDescent="0.25"/>
    <row r="336" spans="1:10" ht="0" hidden="1" customHeight="1" x14ac:dyDescent="0.25"/>
    <row r="337" ht="0" hidden="1" customHeight="1" x14ac:dyDescent="0.25"/>
    <row r="338" ht="0" hidden="1" customHeight="1" x14ac:dyDescent="0.25"/>
    <row r="339" ht="0" hidden="1" customHeight="1" x14ac:dyDescent="0.25"/>
    <row r="340" ht="0" hidden="1" customHeight="1" x14ac:dyDescent="0.25"/>
    <row r="341" ht="0" hidden="1" customHeight="1" x14ac:dyDescent="0.25"/>
    <row r="342" ht="0" hidden="1" customHeight="1" x14ac:dyDescent="0.25"/>
    <row r="343" ht="0" hidden="1" customHeight="1" x14ac:dyDescent="0.25"/>
    <row r="344" ht="0" hidden="1" customHeight="1" x14ac:dyDescent="0.25"/>
    <row r="345" ht="0" hidden="1" customHeight="1" x14ac:dyDescent="0.25"/>
    <row r="346" ht="0" hidden="1" customHeight="1" x14ac:dyDescent="0.25"/>
    <row r="347" ht="0" hidden="1" customHeight="1" x14ac:dyDescent="0.25"/>
    <row r="348" ht="0" hidden="1" customHeight="1" x14ac:dyDescent="0.25"/>
    <row r="349" ht="0" hidden="1" customHeight="1" x14ac:dyDescent="0.25"/>
    <row r="350" ht="0" hidden="1" customHeight="1" x14ac:dyDescent="0.25"/>
    <row r="351" ht="0" hidden="1" customHeight="1" x14ac:dyDescent="0.25"/>
    <row r="352" ht="0" hidden="1" customHeight="1" x14ac:dyDescent="0.25"/>
    <row r="353" ht="0" hidden="1" customHeight="1" x14ac:dyDescent="0.25"/>
    <row r="354" ht="0" hidden="1" customHeight="1" x14ac:dyDescent="0.25"/>
    <row r="355" ht="0" hidden="1" customHeight="1" x14ac:dyDescent="0.25"/>
    <row r="356" ht="0" hidden="1" customHeight="1" x14ac:dyDescent="0.25"/>
    <row r="357" ht="0" hidden="1" customHeight="1" x14ac:dyDescent="0.25"/>
    <row r="358" ht="0" hidden="1" customHeight="1" x14ac:dyDescent="0.25"/>
    <row r="359" ht="0" hidden="1" customHeight="1" x14ac:dyDescent="0.25"/>
    <row r="360" ht="0" hidden="1" customHeight="1" x14ac:dyDescent="0.25"/>
    <row r="361" ht="0" hidden="1" customHeight="1" x14ac:dyDescent="0.25"/>
    <row r="362" ht="0" hidden="1" customHeight="1" x14ac:dyDescent="0.25"/>
    <row r="363" ht="0" hidden="1" customHeight="1" x14ac:dyDescent="0.25"/>
    <row r="364" ht="0" hidden="1" customHeight="1" x14ac:dyDescent="0.25"/>
    <row r="365" ht="0" hidden="1" customHeight="1" x14ac:dyDescent="0.25"/>
    <row r="366" ht="0" hidden="1" customHeight="1" x14ac:dyDescent="0.25"/>
    <row r="367" ht="0" hidden="1" customHeight="1" x14ac:dyDescent="0.25"/>
    <row r="368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16.5" customHeight="1" x14ac:dyDescent="0.25"/>
  </sheetData>
  <mergeCells count="11">
    <mergeCell ref="B2:J2"/>
    <mergeCell ref="B9:J9"/>
    <mergeCell ref="C11:D11"/>
    <mergeCell ref="E11:F11"/>
    <mergeCell ref="G11:H11"/>
    <mergeCell ref="C52:H52"/>
    <mergeCell ref="D55:D59"/>
    <mergeCell ref="G55:G59"/>
    <mergeCell ref="C81:D81"/>
    <mergeCell ref="E81:F81"/>
    <mergeCell ref="G81:H81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 scaleWithDoc="0" alignWithMargins="0">
    <oddHeader>&amp;LForeløpig statistikk&amp;CPr. uke 8&amp;R27.02.2023</oddHeader>
    <oddFooter>&amp;L&amp;8Fiskeridirektoratet&amp;C&amp;8Reguleringsseksjonen&amp;R&amp;8Amund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2023-02-27T09:17:16Z</dcterms:modified>
</cp:coreProperties>
</file>