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ollek\Settings\Desktop\a-Publisering\"/>
    </mc:Choice>
  </mc:AlternateContent>
  <xr:revisionPtr revIDLastSave="0" documentId="8_{F07D80BF-FABA-4970-942A-FF588F70C3CC}" xr6:coauthVersionLast="47" xr6:coauthVersionMax="47" xr10:uidLastSave="{00000000-0000-0000-0000-000000000000}"/>
  <bookViews>
    <workbookView xWindow="6120" yWindow="345" windowWidth="17280" windowHeight="118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1" i="1" l="1"/>
  <c r="H422" i="1"/>
  <c r="G422" i="1"/>
  <c r="F422" i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E414" i="1"/>
  <c r="E413" i="1" s="1"/>
  <c r="E423" i="1" s="1"/>
  <c r="H413" i="1"/>
  <c r="H423" i="1" s="1"/>
  <c r="F413" i="1"/>
  <c r="D391" i="1"/>
  <c r="I390" i="1"/>
  <c r="G390" i="1"/>
  <c r="H390" i="1" s="1"/>
  <c r="F390" i="1"/>
  <c r="I389" i="1"/>
  <c r="G389" i="1"/>
  <c r="H389" i="1" s="1"/>
  <c r="F389" i="1"/>
  <c r="I388" i="1"/>
  <c r="G388" i="1"/>
  <c r="G386" i="1" s="1"/>
  <c r="H386" i="1" s="1"/>
  <c r="F388" i="1"/>
  <c r="F386" i="1" s="1"/>
  <c r="I387" i="1"/>
  <c r="I386" i="1" s="1"/>
  <c r="G387" i="1"/>
  <c r="F387" i="1"/>
  <c r="I385" i="1"/>
  <c r="H385" i="1"/>
  <c r="G385" i="1"/>
  <c r="F385" i="1"/>
  <c r="I384" i="1"/>
  <c r="H384" i="1"/>
  <c r="G384" i="1"/>
  <c r="F384" i="1"/>
  <c r="I383" i="1"/>
  <c r="I380" i="1" s="1"/>
  <c r="H383" i="1"/>
  <c r="G383" i="1"/>
  <c r="F383" i="1"/>
  <c r="I382" i="1"/>
  <c r="H382" i="1"/>
  <c r="G382" i="1"/>
  <c r="F382" i="1"/>
  <c r="I381" i="1"/>
  <c r="H381" i="1"/>
  <c r="G381" i="1"/>
  <c r="F381" i="1"/>
  <c r="H380" i="1"/>
  <c r="G380" i="1"/>
  <c r="G391" i="1" s="1"/>
  <c r="F380" i="1"/>
  <c r="D380" i="1"/>
  <c r="H372" i="1"/>
  <c r="F372" i="1"/>
  <c r="F354" i="1"/>
  <c r="D354" i="1"/>
  <c r="G354" i="1" s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H354" i="1" s="1"/>
  <c r="G350" i="1"/>
  <c r="F350" i="1"/>
  <c r="E350" i="1"/>
  <c r="E354" i="1" s="1"/>
  <c r="D343" i="1"/>
  <c r="D299" i="1"/>
  <c r="H298" i="1"/>
  <c r="F298" i="1"/>
  <c r="G298" i="1" s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H249" i="1" s="1"/>
  <c r="H253" i="1" s="1"/>
  <c r="F251" i="1"/>
  <c r="E251" i="1"/>
  <c r="H250" i="1"/>
  <c r="F250" i="1"/>
  <c r="E250" i="1"/>
  <c r="F249" i="1"/>
  <c r="G249" i="1" s="1"/>
  <c r="E249" i="1"/>
  <c r="E253" i="1" s="1"/>
  <c r="D207" i="1"/>
  <c r="G207" i="1" s="1"/>
  <c r="H206" i="1"/>
  <c r="G206" i="1"/>
  <c r="F206" i="1"/>
  <c r="E206" i="1"/>
  <c r="H205" i="1"/>
  <c r="G205" i="1"/>
  <c r="F205" i="1"/>
  <c r="E205" i="1"/>
  <c r="H204" i="1"/>
  <c r="H207" i="1" s="1"/>
  <c r="G204" i="1"/>
  <c r="F204" i="1"/>
  <c r="F207" i="1" s="1"/>
  <c r="E204" i="1"/>
  <c r="E207" i="1" s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 s="1"/>
  <c r="H177" i="1"/>
  <c r="G177" i="1"/>
  <c r="F177" i="1"/>
  <c r="E177" i="1"/>
  <c r="H176" i="1"/>
  <c r="F176" i="1"/>
  <c r="E176" i="1"/>
  <c r="H175" i="1"/>
  <c r="H184" i="1" s="1"/>
  <c r="F175" i="1"/>
  <c r="E175" i="1"/>
  <c r="D169" i="1"/>
  <c r="D167" i="1"/>
  <c r="I148" i="1"/>
  <c r="H148" i="1"/>
  <c r="G148" i="1"/>
  <c r="F148" i="1"/>
  <c r="I147" i="1"/>
  <c r="G147" i="1"/>
  <c r="H147" i="1" s="1"/>
  <c r="F147" i="1"/>
  <c r="H146" i="1"/>
  <c r="I145" i="1"/>
  <c r="G145" i="1"/>
  <c r="H145" i="1" s="1"/>
  <c r="F145" i="1"/>
  <c r="I144" i="1"/>
  <c r="H144" i="1"/>
  <c r="G144" i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G140" i="1"/>
  <c r="G139" i="1" s="1"/>
  <c r="F140" i="1"/>
  <c r="F139" i="1" s="1"/>
  <c r="I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H134" i="1"/>
  <c r="G134" i="1"/>
  <c r="E134" i="1"/>
  <c r="D134" i="1"/>
  <c r="D133" i="1" s="1"/>
  <c r="E133" i="1"/>
  <c r="I132" i="1"/>
  <c r="H132" i="1"/>
  <c r="G132" i="1"/>
  <c r="F132" i="1"/>
  <c r="I131" i="1"/>
  <c r="H131" i="1"/>
  <c r="F131" i="1"/>
  <c r="I130" i="1"/>
  <c r="H130" i="1"/>
  <c r="G130" i="1"/>
  <c r="F130" i="1"/>
  <c r="I129" i="1"/>
  <c r="I128" i="1" s="1"/>
  <c r="H129" i="1"/>
  <c r="G129" i="1"/>
  <c r="G128" i="1" s="1"/>
  <c r="F129" i="1"/>
  <c r="F128" i="1"/>
  <c r="E128" i="1"/>
  <c r="E150" i="1" s="1"/>
  <c r="D128" i="1"/>
  <c r="D150" i="1" s="1"/>
  <c r="C126" i="1"/>
  <c r="I106" i="1"/>
  <c r="H106" i="1"/>
  <c r="G106" i="1"/>
  <c r="F106" i="1"/>
  <c r="I105" i="1"/>
  <c r="G105" i="1"/>
  <c r="H105" i="1" s="1"/>
  <c r="F105" i="1"/>
  <c r="I104" i="1"/>
  <c r="H104" i="1"/>
  <c r="G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G97" i="1"/>
  <c r="G96" i="1" s="1"/>
  <c r="G95" i="1" s="1"/>
  <c r="F97" i="1"/>
  <c r="F96" i="1" s="1"/>
  <c r="F95" i="1" s="1"/>
  <c r="I96" i="1"/>
  <c r="I95" i="1" s="1"/>
  <c r="E96" i="1"/>
  <c r="E95" i="1" s="1"/>
  <c r="D96" i="1"/>
  <c r="D95" i="1"/>
  <c r="I94" i="1"/>
  <c r="G94" i="1"/>
  <c r="H94" i="1" s="1"/>
  <c r="H92" i="1" s="1"/>
  <c r="F94" i="1"/>
  <c r="I93" i="1"/>
  <c r="I92" i="1" s="1"/>
  <c r="H93" i="1"/>
  <c r="G93" i="1"/>
  <c r="F93" i="1"/>
  <c r="G92" i="1"/>
  <c r="G107" i="1" s="1"/>
  <c r="F92" i="1"/>
  <c r="F107" i="1" s="1"/>
  <c r="E92" i="1"/>
  <c r="D92" i="1"/>
  <c r="D107" i="1" s="1"/>
  <c r="C89" i="1"/>
  <c r="H85" i="1"/>
  <c r="F85" i="1"/>
  <c r="D85" i="1"/>
  <c r="G61" i="1"/>
  <c r="G60" i="1"/>
  <c r="H55" i="1"/>
  <c r="I32" i="1" s="1"/>
  <c r="I27" i="1" s="1"/>
  <c r="G55" i="1"/>
  <c r="F55" i="1"/>
  <c r="E55" i="1"/>
  <c r="I43" i="1"/>
  <c r="H43" i="1"/>
  <c r="G43" i="1"/>
  <c r="F43" i="1"/>
  <c r="H42" i="1"/>
  <c r="I41" i="1"/>
  <c r="H41" i="1"/>
  <c r="G41" i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G35" i="1"/>
  <c r="F35" i="1"/>
  <c r="E35" i="1"/>
  <c r="F34" i="1"/>
  <c r="F26" i="1" s="1"/>
  <c r="D34" i="1"/>
  <c r="I33" i="1"/>
  <c r="G33" i="1"/>
  <c r="H33" i="1" s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G27" i="1" s="1"/>
  <c r="F28" i="1"/>
  <c r="F27" i="1" s="1"/>
  <c r="E27" i="1"/>
  <c r="D27" i="1"/>
  <c r="D26" i="1" s="1"/>
  <c r="D44" i="1" s="1"/>
  <c r="E26" i="1"/>
  <c r="I25" i="1"/>
  <c r="G25" i="1"/>
  <c r="H25" i="1" s="1"/>
  <c r="H23" i="1" s="1"/>
  <c r="F25" i="1"/>
  <c r="I24" i="1"/>
  <c r="I23" i="1" s="1"/>
  <c r="G24" i="1"/>
  <c r="H24" i="1" s="1"/>
  <c r="F24" i="1"/>
  <c r="G23" i="1"/>
  <c r="F23" i="1"/>
  <c r="E23" i="1"/>
  <c r="E44" i="1" s="1"/>
  <c r="D23" i="1"/>
  <c r="H16" i="1"/>
  <c r="F16" i="1"/>
  <c r="D16" i="1"/>
  <c r="H128" i="1" l="1"/>
  <c r="G133" i="1"/>
  <c r="I34" i="1"/>
  <c r="I26" i="1" s="1"/>
  <c r="I44" i="1" s="1"/>
  <c r="G34" i="1"/>
  <c r="H35" i="1"/>
  <c r="E184" i="1"/>
  <c r="G295" i="1"/>
  <c r="F299" i="1"/>
  <c r="G299" i="1" s="1"/>
  <c r="H391" i="1"/>
  <c r="F150" i="1"/>
  <c r="F184" i="1"/>
  <c r="G184" i="1" s="1"/>
  <c r="F423" i="1"/>
  <c r="F44" i="1"/>
  <c r="G26" i="1"/>
  <c r="G44" i="1" s="1"/>
  <c r="H34" i="1"/>
  <c r="I107" i="1"/>
  <c r="G150" i="1"/>
  <c r="I391" i="1"/>
  <c r="E107" i="1"/>
  <c r="I150" i="1"/>
  <c r="F391" i="1"/>
  <c r="H28" i="1"/>
  <c r="H27" i="1" s="1"/>
  <c r="H140" i="1"/>
  <c r="H139" i="1" s="1"/>
  <c r="H133" i="1" s="1"/>
  <c r="H150" i="1" s="1"/>
  <c r="H97" i="1"/>
  <c r="H96" i="1" s="1"/>
  <c r="H95" i="1" s="1"/>
  <c r="H107" i="1" s="1"/>
  <c r="G175" i="1"/>
  <c r="F253" i="1"/>
  <c r="G253" i="1" s="1"/>
  <c r="G413" i="1"/>
  <c r="H26" i="1" l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<sst xmlns="http://schemas.openxmlformats.org/spreadsheetml/2006/main" count="359" uniqueCount="152">
  <si>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</si>
  <si>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</si>
  <si>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</si>
  <si>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</si>
  <si>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</si>
  <si>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</si>
  <si>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</si>
  <si>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</si>
  <si>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</si>
  <si>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</si>
  <si>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</si>
  <si>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</si>
  <si>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</si>
  <si>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</si>
  <si>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</si>
  <si>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</si>
  <si>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</si>
  <si>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</si>
  <si>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</si>
  <si>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</si>
  <si>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</si>
  <si>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</si>
  <si>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</si>
  <si>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</si>
  <si>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</si>
  <si>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</si>
  <si>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</si>
  <si>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</si>
  <si>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</si>
  <si>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</si>
  <si>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</si>
  <si>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</si>
  <si>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</si>
  <si>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</si>
  <si>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</si>
  <si>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</si>
  <si>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</si>
  <si>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</si>
  <si>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</si>
  <si>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</si>
  <si>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</si>
  <si>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</si>
  <si>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</si>
  <si>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</si>
  <si>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</si>
  <si>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</si>
  <si>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</si>
  <si>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</si>
  <si>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</si>
  <si>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</si>
  <si>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</si>
  <si>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</si>
  <si>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</si>
  <si>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</si>
  <si>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</si>
  <si>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</si>
  <si>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</si>
  <si>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</si>
  <si>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</si>
  <si>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</si>
  <si>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</si>
  <si>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</si>
  <si>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</si>
  <si>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</si>
  <si>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</si>
  <si>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</si>
  <si>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</si>
  <si>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</si>
  <si>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</si>
  <si>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</si>
  <si>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</si>
  <si>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</si>
  <si>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</si>
  <si>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</si>
  <si>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</si>
  <si>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</si>
  <si>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</si>
  <si>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</si>
  <si>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</si>
  <si>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</si>
  <si>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</si>
  <si>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</si>
  <si>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</si>
  <si>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</si>
  <si>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</si>
  <si>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</si>
  <si>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</si>
  <si>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</si>
  <si>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</si>
  <si>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</si>
  <si>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</si>
  <si>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</si>
  <si>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</si>
  <si>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</si>
  <si>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</si>
  <si>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</si>
  <si>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</si>
  <si>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</si>
  <si>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</si>
  <si>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</si>
  <si>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</si>
  <si>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</si>
  <si>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</si>
  <si>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</si>
  <si>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</si>
  <si>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</si>
  <si>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</si>
  <si>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</si>
  <si>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</si>
  <si>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</si>
  <si>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</si>
  <si>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</si>
  <si>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</si>
  <si>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</si>
  <si>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</si>
  <si>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</si>
  <si>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</si>
  <si>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</si>
  <si>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</si>
  <si>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</si>
  <si>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</si>
  <si>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</si>
  <si>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</si>
  <si>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</si>
  <si>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</si>
  <si>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</si>
  <si>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</si>
  <si>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</si>
  <si>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</si>
  <si>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</si>
  <si>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</si>
  <si>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</si>
  <si>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</si>
  <si>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</si>
  <si>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</si>
  <si>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</si>
  <si>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</si>
  <si>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</si>
  <si>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</si>
  <si>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</si>
  <si>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</si>
  <si>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</si>
  <si>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</si>
  <si>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</si>
  <si>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2 Registrert rekreasjonsfiske utgjør 45 tonn, men det legges til grunn at hele avsetningen tas</t>
  </si>
  <si>
    <t>4 Registrert rekreasjonsfiske utgjør 165 tonn, men det legges til grunn at hele avsetningen tas</t>
  </si>
  <si>
    <t>3 Registrert rekreasjonsfiske utgjør 564 tonn, men det legges til grunn at hele avsetningen tas</t>
  </si>
  <si>
    <t>FANGST UKE 18</t>
  </si>
  <si>
    <t>FANGST T.O.M UKE 18</t>
  </si>
  <si>
    <t>RESTKVOTER UKE 18</t>
  </si>
  <si>
    <t>FANGST T.O.M UKE 18 2023</t>
  </si>
  <si>
    <r>
      <t>3</t>
    </r>
    <r>
      <rPr>
        <sz val="9"/>
        <color indexed="8"/>
        <rFont val="Calibri"/>
        <family val="2"/>
      </rPr>
      <t xml:space="preserve"> Det er fisket 1729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</si>
</sst>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I13" sqref="I13"/>
    </sheetView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123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142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154.84950000000001</v>
      </c>
      <c r="G23" s="28">
        <f t="shared" si="0"/>
        <v>34341.956319999998</v>
      </c>
      <c r="H23" s="11">
        <f t="shared" si="0"/>
        <v>26470.043680000002</v>
      </c>
      <c r="I23" s="11">
        <f t="shared" si="0"/>
        <v>39181.241829999999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154.8495</f>
        <v>154.84950000000001</v>
      </c>
      <c r="G24" s="23">
        <f>33940.22803</f>
        <v>33940.228029999998</v>
      </c>
      <c r="H24" s="23">
        <f>E24-G24</f>
        <v>26101.771970000002</v>
      </c>
      <c r="I24" s="23">
        <f>38989.59934</f>
        <v>38989.599340000001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401.72829</f>
        <v>401.72829000000002</v>
      </c>
      <c r="H25" s="23">
        <f>E25-G25</f>
        <v>368.27170999999998</v>
      </c>
      <c r="I25" s="23">
        <f>191.64249</f>
        <v>191.64249000000001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1974.2333799999999</v>
      </c>
      <c r="G26" s="11">
        <f t="shared" si="1"/>
        <v>109255.21823</v>
      </c>
      <c r="H26" s="11">
        <f t="shared" si="1"/>
        <v>35618.781770000001</v>
      </c>
      <c r="I26" s="11">
        <f t="shared" si="1"/>
        <v>151521.78314000001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1383.5967499999999</v>
      </c>
      <c r="G27" s="132">
        <f t="shared" ref="G27:I27" si="2">G28+G29+G30+G31+G32</f>
        <v>91374.581049999993</v>
      </c>
      <c r="H27" s="132">
        <f t="shared" si="2"/>
        <v>21603.418949999999</v>
      </c>
      <c r="I27" s="132">
        <f t="shared" si="2"/>
        <v>122623.48171000001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320.85899</f>
        <v>320.85899000000001</v>
      </c>
      <c r="G28" s="127">
        <f>24670.60305 - F56</f>
        <v>24670.603050000002</v>
      </c>
      <c r="H28" s="127">
        <f t="shared" ref="H28:H40" si="3">E28-G28</f>
        <v>3959.3969499999985</v>
      </c>
      <c r="I28" s="127">
        <f>34142.51611 - H56</f>
        <v>34142.516109999997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167.52736</f>
        <v>167.52735999999999</v>
      </c>
      <c r="G29" s="127">
        <f>25841.69953 - F57</f>
        <v>25841.699530000002</v>
      </c>
      <c r="H29" s="127">
        <f t="shared" si="3"/>
        <v>3823.3004699999983</v>
      </c>
      <c r="I29" s="127">
        <f>34869.25601 - H57</f>
        <v>34869.256009999997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749.56016</f>
        <v>749.56016</v>
      </c>
      <c r="G30" s="127">
        <f>23601.97312 - F58</f>
        <v>23601.973119999999</v>
      </c>
      <c r="H30" s="127">
        <f t="shared" si="3"/>
        <v>3642.0268800000013</v>
      </c>
      <c r="I30" s="127">
        <f>31545.26666 - H58</f>
        <v>31545.266660000001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145.65024</f>
        <v>145.65024</v>
      </c>
      <c r="G31" s="127">
        <f>17260.30535 - F59</f>
        <v>17260.305349999999</v>
      </c>
      <c r="H31" s="127">
        <f t="shared" si="3"/>
        <v>2078.6946500000013</v>
      </c>
      <c r="I31" s="127">
        <f>22066.44293 - H59</f>
        <v>22066.442930000001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73.29306</f>
        <v>73.293059999999997</v>
      </c>
      <c r="G33" s="132">
        <f>7331.48186</f>
        <v>7331.4818599999999</v>
      </c>
      <c r="H33" s="132">
        <f t="shared" si="3"/>
        <v>9527.5181400000001</v>
      </c>
      <c r="I33" s="132">
        <f>11263.19818</f>
        <v>11263.198179999999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517.34357</v>
      </c>
      <c r="G34" s="132">
        <f>G35+G36</f>
        <v>10549.15532</v>
      </c>
      <c r="H34" s="132">
        <f t="shared" si="3"/>
        <v>4487.8446800000002</v>
      </c>
      <c r="I34" s="132">
        <f>I35+I36</f>
        <v>17635.10325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517.34357</f>
        <v>517.34357</v>
      </c>
      <c r="G35" s="132">
        <f>12828.15532 - F60 - F61</f>
        <v>10549.15532</v>
      </c>
      <c r="H35" s="127">
        <f t="shared" si="3"/>
        <v>3527.8446800000002</v>
      </c>
      <c r="I35" s="127">
        <f>20585.10325 - H60 - H61</f>
        <v>17635.10325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159.79</f>
        <v>159.79</v>
      </c>
      <c r="H37" s="139">
        <f t="shared" si="3"/>
        <v>1840.21</v>
      </c>
      <c r="I37" s="139">
        <f>495.1048</f>
        <v>495.10480000000001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1.758</f>
        <v>1.758</v>
      </c>
      <c r="G38" s="98">
        <f>438.71071</f>
        <v>438.71071000000001</v>
      </c>
      <c r="H38" s="98">
        <f t="shared" si="3"/>
        <v>416.28928999999999</v>
      </c>
      <c r="I38" s="98">
        <f>455.53437</f>
        <v>455.53437000000002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151</v>
      </c>
      <c r="G39" s="98">
        <f>F61</f>
        <v>2279</v>
      </c>
      <c r="H39" s="98">
        <f t="shared" si="3"/>
        <v>721</v>
      </c>
      <c r="I39" s="98">
        <f>H61</f>
        <v>2950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20.70893</f>
        <v>20.708929999999999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5.5725</f>
        <v>5.5724999999999998</v>
      </c>
      <c r="G41" s="98">
        <f>310.49256</f>
        <v>310.49256000000003</v>
      </c>
      <c r="H41" s="98">
        <f>E41-G41</f>
        <v>89.507439999999974</v>
      </c>
      <c r="I41" s="98">
        <f>319.81065</f>
        <v>319.81065000000001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106.14526</f>
        <v>106.14525999999999</v>
      </c>
      <c r="H43" s="139">
        <f t="shared" ref="H43" si="4">E43-G43</f>
        <v>-106.14525999999999</v>
      </c>
      <c r="I43" s="139">
        <f>57.60549</f>
        <v>57.605490000000003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2308.1223099999997</v>
      </c>
      <c r="G44" s="76">
        <f t="shared" si="5"/>
        <v>153891.31708000001</v>
      </c>
      <c r="H44" s="76">
        <f t="shared" si="5"/>
        <v>65149.682920000007</v>
      </c>
      <c r="I44" s="76">
        <f t="shared" si="5"/>
        <v>201981.08028000002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151</v>
      </c>
      <c r="F61" s="139">
        <v>2279</v>
      </c>
      <c r="G61" s="139">
        <f>D61-F61</f>
        <v>721</v>
      </c>
      <c r="H61" s="139">
        <v>2950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6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11.516400000000001</v>
      </c>
      <c r="G92" s="11">
        <f t="shared" si="6"/>
        <v>21876.49021</v>
      </c>
      <c r="H92" s="11">
        <f t="shared" si="6"/>
        <v>4084.5097900000014</v>
      </c>
      <c r="I92" s="11">
        <f t="shared" si="6"/>
        <v>37173.601449999995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11.5164</f>
        <v>11.516400000000001</v>
      </c>
      <c r="G93" s="23">
        <f>21122.55276</f>
        <v>21122.552759999999</v>
      </c>
      <c r="H93" s="23">
        <f>E93-G93</f>
        <v>4013.4472400000013</v>
      </c>
      <c r="I93" s="23">
        <f>36688.70851</f>
        <v>36688.708509999997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753.93745</f>
        <v>753.93745000000001</v>
      </c>
      <c r="H94" s="50">
        <f>E94-G94</f>
        <v>71.062549999999987</v>
      </c>
      <c r="I94" s="50">
        <f>484.89294</f>
        <v>484.89294000000001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1508.1633300000001</v>
      </c>
      <c r="G95" s="11">
        <f t="shared" si="7"/>
        <v>21301.12645</v>
      </c>
      <c r="H95" s="11">
        <f t="shared" si="7"/>
        <v>27692.87355</v>
      </c>
      <c r="I95" s="11">
        <f t="shared" si="7"/>
        <v>14358.71495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1448.62941</v>
      </c>
      <c r="G96" s="132">
        <f t="shared" si="8"/>
        <v>15782.32187</v>
      </c>
      <c r="H96" s="132">
        <f t="shared" si="8"/>
        <v>21711.67813</v>
      </c>
      <c r="I96" s="132">
        <f t="shared" si="8"/>
        <v>9441.704099999999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133.98275</f>
        <v>133.98275000000001</v>
      </c>
      <c r="G97" s="127">
        <f>3435.26262</f>
        <v>3435.26262</v>
      </c>
      <c r="H97" s="127">
        <f t="shared" ref="H97:H104" si="9">E97-G97</f>
        <v>6579.7373800000005</v>
      </c>
      <c r="I97" s="127">
        <f>1937.6226</f>
        <v>1937.6225999999999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438.38104</f>
        <v>438.38103999999998</v>
      </c>
      <c r="G98" s="127">
        <f>5338.5482</f>
        <v>5338.5482000000002</v>
      </c>
      <c r="H98" s="127">
        <f t="shared" si="9"/>
        <v>5275.4517999999998</v>
      </c>
      <c r="I98" s="127">
        <f>2834.34485</f>
        <v>2834.34485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759.1849</f>
        <v>759.18489999999997</v>
      </c>
      <c r="G99" s="127">
        <f>4560.66741</f>
        <v>4560.66741</v>
      </c>
      <c r="H99" s="127">
        <f t="shared" si="9"/>
        <v>5551.33259</v>
      </c>
      <c r="I99" s="127">
        <f>2321.67723</f>
        <v>2321.6772299999998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117.08072</f>
        <v>117.08072</v>
      </c>
      <c r="G100" s="127">
        <f>2447.84364</f>
        <v>2447.8436400000001</v>
      </c>
      <c r="H100" s="127">
        <f t="shared" si="9"/>
        <v>4305.1563599999999</v>
      </c>
      <c r="I100" s="127">
        <f>2348.05942</f>
        <v>2348.05942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25.49286</f>
        <v>25.49286</v>
      </c>
      <c r="G101" s="132">
        <f>3947.02821</f>
        <v>3947.0282099999999</v>
      </c>
      <c r="H101" s="132">
        <f t="shared" si="9"/>
        <v>3648.9717900000001</v>
      </c>
      <c r="I101" s="132">
        <f>3823.49135</f>
        <v>3823.4913499999998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34.04106</f>
        <v>34.041060000000002</v>
      </c>
      <c r="G102" s="75">
        <f>1571.77637</f>
        <v>1571.77637</v>
      </c>
      <c r="H102" s="75">
        <f t="shared" si="9"/>
        <v>2332.22363</v>
      </c>
      <c r="I102" s="75">
        <f>1093.5195</f>
        <v>1093.5195000000001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</f>
        <v>0</v>
      </c>
      <c r="G103" s="98">
        <f>35.89738</f>
        <v>35.897379999999998</v>
      </c>
      <c r="H103" s="98">
        <f t="shared" si="9"/>
        <v>283.10262</v>
      </c>
      <c r="I103" s="98">
        <f>11.16397</f>
        <v>11.163970000000001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1.04151</f>
        <v>1.0415099999999999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0.48428</f>
        <v>0.48427999999999999</v>
      </c>
      <c r="G105" s="98">
        <f>19.04552</f>
        <v>19.04552</v>
      </c>
      <c r="H105" s="139">
        <f>E105-G105</f>
        <v>30.95448</v>
      </c>
      <c r="I105" s="98">
        <f>6.45706</f>
        <v>6.4570600000000002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16.02412</f>
        <v>16.02412</v>
      </c>
      <c r="H106" s="139">
        <f t="shared" ref="H106" si="10">E106-G106</f>
        <v>-16.02412</v>
      </c>
      <c r="I106" s="139">
        <f>23.28016</f>
        <v>23.280159999999999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1521.20552</v>
      </c>
      <c r="G107" s="76">
        <f t="shared" si="12"/>
        <v>43548.583680000003</v>
      </c>
      <c r="H107" s="76">
        <f t="shared" si="12"/>
        <v>32075.416320000004</v>
      </c>
      <c r="I107" s="76">
        <f t="shared" si="12"/>
        <v>51873.21759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356.90625</v>
      </c>
      <c r="G128" s="11">
        <f t="shared" si="13"/>
        <v>34814.882154999999</v>
      </c>
      <c r="H128" s="11">
        <f t="shared" si="13"/>
        <v>37492.117845000001</v>
      </c>
      <c r="I128" s="11">
        <f t="shared" si="13"/>
        <v>31099.68075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356.90625</f>
        <v>356.90625</v>
      </c>
      <c r="G129" s="23">
        <f>28994.30701</f>
        <v>28994.30701</v>
      </c>
      <c r="H129" s="23">
        <f>E129-G129</f>
        <v>28567.69299</v>
      </c>
      <c r="I129" s="23">
        <f>26606.44232</f>
        <v>26606.442319999998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4026.6022</f>
        <v>4026.6021999999998</v>
      </c>
      <c r="H130" s="23">
        <f>E130-G130</f>
        <v>10218.397800000001</v>
      </c>
      <c r="I130" s="23">
        <f>4377.93218</f>
        <v>4377.9321799999998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65.45015+1728.522795</f>
        <v>1793.972945</v>
      </c>
      <c r="H131" s="55">
        <f>E131-G131</f>
        <v>-1293.972945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182.401</f>
        <v>182.40100000000001</v>
      </c>
      <c r="G132" s="95">
        <f>311.4724</f>
        <v>311.47239999999999</v>
      </c>
      <c r="H132" s="95">
        <f>E132-G132</f>
        <v>52184.527600000001</v>
      </c>
      <c r="I132" s="95">
        <f>2825.69453</f>
        <v>2825.6945300000002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783.19713000000002</v>
      </c>
      <c r="G133" s="94">
        <f t="shared" ref="G133" si="14">G134+G139+G142</f>
        <v>42554.338205000007</v>
      </c>
      <c r="H133" s="94">
        <f>H134+H139+H142</f>
        <v>37610.661794999993</v>
      </c>
      <c r="I133" s="94">
        <f>I134+I139+I142</f>
        <v>42048.14314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663.32556999999997</v>
      </c>
      <c r="G134" s="125">
        <f>G135+G136+G138+G137</f>
        <v>31903.281865000004</v>
      </c>
      <c r="H134" s="125">
        <f>H135+H136+H137+H138</f>
        <v>27175.718134999996</v>
      </c>
      <c r="I134" s="125">
        <f>I135+I136+I137+I138</f>
        <v>33682.402529999999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142.67358</f>
        <v>142.67357999999999</v>
      </c>
      <c r="G135" s="127">
        <v>6113.3132699999996</v>
      </c>
      <c r="H135" s="127">
        <f>E135-G135</f>
        <v>11660.686730000001</v>
      </c>
      <c r="I135" s="127">
        <f>5251.63278</f>
        <v>5251.6327799999999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134.59016</f>
        <v>134.59016</v>
      </c>
      <c r="G136" s="127">
        <v>9984.2409150000003</v>
      </c>
      <c r="H136" s="127">
        <f>E136-G136</f>
        <v>4954.7590849999997</v>
      </c>
      <c r="I136" s="127">
        <f>9582.06055</f>
        <v>9582.0605500000001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202.94943</f>
        <v>202.94943000000001</v>
      </c>
      <c r="G137" s="127">
        <v>8287.0825800000002</v>
      </c>
      <c r="H137" s="127">
        <f>E137-G137</f>
        <v>4763.9174199999998</v>
      </c>
      <c r="I137" s="127">
        <f>8931.96203</f>
        <v>8931.9620300000006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183.1124</f>
        <v>183.11240000000001</v>
      </c>
      <c r="G138" s="127">
        <v>7518.6451000000006</v>
      </c>
      <c r="H138" s="127">
        <f>E138-G138</f>
        <v>5796.3548999999994</v>
      </c>
      <c r="I138" s="127">
        <f>9916.74717</f>
        <v>9916.7471700000006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2.7612000000000001</v>
      </c>
      <c r="G139" s="132">
        <f>SUM(G140:G141)</f>
        <v>7744.2563</v>
      </c>
      <c r="H139" s="132">
        <f>H140+H141</f>
        <v>1185.7437000000004</v>
      </c>
      <c r="I139" s="132">
        <f>SUM(I140:I141)</f>
        <v>5673.5533000000005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2.7564</f>
        <v>2.7564000000000002</v>
      </c>
      <c r="G140" s="127">
        <f>7545.02014</f>
        <v>7545.0201399999996</v>
      </c>
      <c r="H140" s="127">
        <f t="shared" ref="H140:H148" si="15">E140-G140</f>
        <v>884.97986000000037</v>
      </c>
      <c r="I140" s="127">
        <f>5552.12167</f>
        <v>5552.1216700000004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0.0048</f>
        <v>4.7999999999999996E-3</v>
      </c>
      <c r="G141" s="127">
        <f>199.23616</f>
        <v>199.23616000000001</v>
      </c>
      <c r="H141" s="127">
        <f t="shared" si="15"/>
        <v>300.76383999999996</v>
      </c>
      <c r="I141" s="127">
        <f>121.43163</f>
        <v>121.43163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117.11036</f>
        <v>117.11036</v>
      </c>
      <c r="G142" s="75">
        <f>2906.80004</f>
        <v>2906.8000400000001</v>
      </c>
      <c r="H142" s="75">
        <f t="shared" si="15"/>
        <v>9249.1999599999999</v>
      </c>
      <c r="I142" s="75">
        <f>2692.18731</f>
        <v>2692.1873099999998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0.0162</f>
        <v>1.6199999999999999E-2</v>
      </c>
      <c r="G143" s="139">
        <f>15.58905</f>
        <v>15.58905</v>
      </c>
      <c r="H143" s="139">
        <f t="shared" si="15"/>
        <v>130.41095000000001</v>
      </c>
      <c r="I143" s="139">
        <f>21.30929</f>
        <v>21.309290000000001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7.38819</f>
        <v>7.3881899999999998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1.1166</f>
        <v>1.1166</v>
      </c>
      <c r="G147" s="98">
        <f>36.40483</f>
        <v>36.404829999999997</v>
      </c>
      <c r="H147" s="139">
        <f t="shared" si="15"/>
        <v>239.59517</v>
      </c>
      <c r="I147" s="98">
        <f>26.22638</f>
        <v>26.226379999999999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109.98109</f>
        <v>109.98108999999999</v>
      </c>
      <c r="H148" s="139">
        <f t="shared" si="15"/>
        <v>-109.98108999999999</v>
      </c>
      <c r="I148" s="139">
        <f>86.5963</f>
        <v>86.596299999999999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1331.0253700000001</v>
      </c>
      <c r="G150" s="76">
        <f>G128+G132+G133+G143+G144+G145+G146+G147+G148</f>
        <v>79842.667730000001</v>
      </c>
      <c r="H150" s="76">
        <f>H128+H132+H133+H143+H144+H145+H146+H147+H148</f>
        <v>127797.33227</v>
      </c>
      <c r="I150" s="76">
        <f>I128+I132+I133+I143+I144+I145+I146+I147+I148</f>
        <v>78107.65039000001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0</f>
        <v>0</v>
      </c>
      <c r="F175" s="275">
        <f>343.12424</f>
        <v>343.12423999999999</v>
      </c>
      <c r="G175" s="43">
        <f>D175-F175-F176</f>
        <v>3334.28107</v>
      </c>
      <c r="H175" s="275">
        <f>619.40034</f>
        <v>619.40034000000003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144.57094</f>
        <v>144.57094000000001</v>
      </c>
      <c r="F176" s="152">
        <f>545.59469</f>
        <v>545.59469000000001</v>
      </c>
      <c r="G176" s="216"/>
      <c r="H176" s="152">
        <f>304.84135</f>
        <v>304.84134999999998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2.41484</f>
        <v>2.4148399999999999</v>
      </c>
      <c r="F177" s="172">
        <f>27.43974</f>
        <v>27.43974</v>
      </c>
      <c r="G177" s="172">
        <f>D177-F177</f>
        <v>172.56026</v>
      </c>
      <c r="H177" s="172">
        <f>32.42226</f>
        <v>32.422260000000001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17.22062</v>
      </c>
      <c r="F178" s="181">
        <f>F179+F180+F181</f>
        <v>93.573849999999993</v>
      </c>
      <c r="G178" s="181">
        <f>D178-F178</f>
        <v>6240.4261500000002</v>
      </c>
      <c r="H178" s="181">
        <f>H179+H180+H181</f>
        <v>25.404919999999997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7.2481</f>
        <v>7.2481</v>
      </c>
      <c r="F179" s="127">
        <f>48.05601</f>
        <v>48.056010000000001</v>
      </c>
      <c r="G179" s="127"/>
      <c r="H179" s="127">
        <f>8.85048</f>
        <v>8.8504799999999992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5.61302</f>
        <v>5.6130199999999997</v>
      </c>
      <c r="F180" s="127">
        <f>24.34826</f>
        <v>24.34826</v>
      </c>
      <c r="G180" s="127"/>
      <c r="H180" s="127">
        <f>15.45032</f>
        <v>15.45032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4.3595</f>
        <v>4.3594999999999997</v>
      </c>
      <c r="F181" s="192">
        <f>21.16958</f>
        <v>21.16958</v>
      </c>
      <c r="G181" s="192"/>
      <c r="H181" s="192">
        <f>1.10412</f>
        <v>1.10412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164.2064</v>
      </c>
      <c r="F184" s="194">
        <f>F175+F176+F177+F178+F182+F183</f>
        <v>1009.73252</v>
      </c>
      <c r="G184" s="194">
        <f>D184-F184</f>
        <v>9813.2674800000004</v>
      </c>
      <c r="H184" s="194">
        <f>H175+H176+H177+H178+H182+H183</f>
        <v>982.06887000000006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0</f>
        <v>0</v>
      </c>
      <c r="F204" s="124">
        <f>13112.46183</f>
        <v>13112.46183</v>
      </c>
      <c r="G204" s="124">
        <f>D204-F204</f>
        <v>33169.53817</v>
      </c>
      <c r="H204" s="124">
        <f>8044.62577</f>
        <v>8044.6257699999996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1.28238</f>
        <v>1.2823800000000001</v>
      </c>
      <c r="F205" s="124">
        <f>8.13643</f>
        <v>8.1364300000000007</v>
      </c>
      <c r="G205" s="124">
        <f>D205-F205</f>
        <v>91.863569999999996</v>
      </c>
      <c r="H205" s="124">
        <f>2.14333</f>
        <v>2.1433300000000002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1.2823800000000001</v>
      </c>
      <c r="F207" s="190">
        <f>SUM(F204:F206)</f>
        <v>13120.598260000001</v>
      </c>
      <c r="G207" s="190">
        <f>D207-F207</f>
        <v>33297.401740000001</v>
      </c>
      <c r="H207" s="190">
        <f>SUM(H204:H206)</f>
        <v>8046.7690999999995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97.647320000000008</v>
      </c>
      <c r="F249" s="75">
        <f>F250+F251</f>
        <v>2280.0191299999997</v>
      </c>
      <c r="G249" s="75">
        <f>D249-F249</f>
        <v>1706.9808700000003</v>
      </c>
      <c r="H249" s="75">
        <f>H250+H251</f>
        <v>1430.2581799999998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90.75472</f>
        <v>90.754720000000006</v>
      </c>
      <c r="F250" s="75">
        <f>1829.33559</f>
        <v>1829.3355899999999</v>
      </c>
      <c r="G250" s="75"/>
      <c r="H250" s="75">
        <f>1033.82783</f>
        <v>1033.8278299999999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6.8926</f>
        <v>6.8925999999999998</v>
      </c>
      <c r="F251" s="124">
        <f>450.68354</f>
        <v>450.68353999999999</v>
      </c>
      <c r="G251" s="168"/>
      <c r="H251" s="124">
        <f>396.43035</f>
        <v>396.43034999999998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304.95197</f>
        <v>304.95197000000002</v>
      </c>
      <c r="F252" s="75">
        <f>3203.15642</f>
        <v>3203.1564199999998</v>
      </c>
      <c r="G252" s="75">
        <f>D252-F252</f>
        <v>1409.8435800000002</v>
      </c>
      <c r="H252" s="75">
        <f>2849.69503</f>
        <v>2849.6950299999999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402.59929</v>
      </c>
      <c r="F253" s="190">
        <f>SUM(F249,F252)</f>
        <v>5483.1755499999999</v>
      </c>
      <c r="G253" s="190">
        <f>D253-F253</f>
        <v>3116.8244500000001</v>
      </c>
      <c r="H253" s="190">
        <f>SUM(H249,H252)</f>
        <v>4279.9532099999997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116.46405999999999</v>
      </c>
      <c r="F295" s="75">
        <f>F296+F297</f>
        <v>1956.8191899999999</v>
      </c>
      <c r="G295" s="75">
        <f>D295-F295</f>
        <v>3133.1808099999998</v>
      </c>
      <c r="H295" s="75">
        <f>H296+H297</f>
        <v>1192.4105500000001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50.8114</f>
        <v>50.811399999999999</v>
      </c>
      <c r="F296" s="75">
        <f>1600.55925</f>
        <v>1600.55925</v>
      </c>
      <c r="G296" s="75"/>
      <c r="H296" s="75">
        <f>895.19474</f>
        <v>895.19474000000002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65.65266</f>
        <v>65.652659999999997</v>
      </c>
      <c r="F297" s="124">
        <f>356.25994</f>
        <v>356.25993999999997</v>
      </c>
      <c r="G297" s="168"/>
      <c r="H297" s="124">
        <f>297.21581</f>
        <v>297.21580999999998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87.15052</f>
        <v>87.15052</v>
      </c>
      <c r="F298" s="75">
        <f>1563.2385</f>
        <v>1563.2384999999999</v>
      </c>
      <c r="G298" s="75">
        <f>D298-F298</f>
        <v>1417.7615000000001</v>
      </c>
      <c r="H298" s="75">
        <f>1329.4575</f>
        <v>1329.4575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203.61457999999999</v>
      </c>
      <c r="F299" s="190">
        <f>SUM(F295,F298)</f>
        <v>3520.0576899999996</v>
      </c>
      <c r="G299" s="190">
        <f>D299-F299</f>
        <v>4550.9423100000004</v>
      </c>
      <c r="H299" s="190">
        <f>SUM(H295,H298)</f>
        <v>2521.86805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6.59089</f>
        <v>6.5908899999999999</v>
      </c>
      <c r="F350" s="124">
        <f>235.13476</f>
        <v>235.13476</v>
      </c>
      <c r="G350" s="124">
        <f>D350-F350</f>
        <v>564.86523999999997</v>
      </c>
      <c r="H350" s="124">
        <f>156.35263</f>
        <v>156.35263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17.79075</f>
        <v>17.790749999999999</v>
      </c>
      <c r="F351" s="124">
        <f>440.06719</f>
        <v>440.06718999999998</v>
      </c>
      <c r="G351" s="124">
        <f>D351-F351</f>
        <v>2600.9328100000002</v>
      </c>
      <c r="H351" s="124">
        <f>473.66449</f>
        <v>473.66449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0.19282</f>
        <v>0.19281999999999999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24.381639999999997</v>
      </c>
      <c r="F354" s="190">
        <f>SUM(F350:F353)</f>
        <v>675.85901000000001</v>
      </c>
      <c r="G354" s="190">
        <f>D354-F354</f>
        <v>3175.1409899999999</v>
      </c>
      <c r="H354" s="190">
        <f>H350+H351+H352+H353</f>
        <v>630.84514000000001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85.21220000000001</v>
      </c>
      <c r="G380" s="252">
        <f t="shared" si="17"/>
        <v>5494.7241200000008</v>
      </c>
      <c r="H380" s="252">
        <f>H384+H383+H382+H381</f>
        <v>17474.275880000001</v>
      </c>
      <c r="I380" s="252">
        <f t="shared" si="17"/>
        <v>3611.7771700000003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3597.48446</f>
        <v>3597.4844600000001</v>
      </c>
      <c r="H381" s="256">
        <f t="shared" ref="H381:H385" si="18">E381-G381</f>
        <v>9592.5155400000003</v>
      </c>
      <c r="I381" s="256">
        <f>1619.98708</f>
        <v>1619.9870800000001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830.91015</f>
        <v>830.91015000000004</v>
      </c>
      <c r="H382" s="256">
        <f t="shared" si="18"/>
        <v>2602.0898499999998</v>
      </c>
      <c r="I382" s="256">
        <f>764.7831</f>
        <v>764.78309999999999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18.6024</f>
        <v>18.602399999999999</v>
      </c>
      <c r="G383" s="256">
        <f>882.00145</f>
        <v>882.00144999999998</v>
      </c>
      <c r="H383" s="256">
        <f t="shared" si="18"/>
        <v>600.99855000000002</v>
      </c>
      <c r="I383" s="256">
        <f>907.26529</f>
        <v>907.26529000000005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66.6098</f>
        <v>66.609800000000007</v>
      </c>
      <c r="G384" s="256">
        <f>184.32806</f>
        <v>184.32805999999999</v>
      </c>
      <c r="H384" s="256">
        <f t="shared" si="18"/>
        <v>4678.6719400000002</v>
      </c>
      <c r="I384" s="256">
        <f>319.7417</f>
        <v>319.74169999999998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223.17422</f>
        <v>223.17421999999999</v>
      </c>
      <c r="G385" s="267">
        <f>897.47298</f>
        <v>897.47298000000001</v>
      </c>
      <c r="H385" s="267">
        <f t="shared" si="18"/>
        <v>4602.5270199999995</v>
      </c>
      <c r="I385" s="267">
        <f>2699.6733</f>
        <v>2699.6732999999999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23.798020000000001</v>
      </c>
      <c r="G386" s="268">
        <f>G388+G387</f>
        <v>1333.6846700000001</v>
      </c>
      <c r="H386" s="268">
        <f>E386-G386</f>
        <v>6666.3153299999994</v>
      </c>
      <c r="I386" s="268">
        <f>I388+I387</f>
        <v>1659.4005299999999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518.31711</f>
        <v>518.31710999999996</v>
      </c>
      <c r="H387" s="256"/>
      <c r="I387" s="256">
        <f>746.70325</f>
        <v>746.70325000000003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23.79802</f>
        <v>23.798020000000001</v>
      </c>
      <c r="G388" s="277">
        <f>815.36756</f>
        <v>815.36756000000003</v>
      </c>
      <c r="H388" s="277"/>
      <c r="I388" s="277">
        <f>912.69728</f>
        <v>912.69727999999998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0.1152</f>
        <v>0.1152</v>
      </c>
      <c r="G390" s="267">
        <f>4.49948</f>
        <v>4.4994800000000001</v>
      </c>
      <c r="H390" s="267">
        <f>E390-G390</f>
        <v>-4.4994800000000001</v>
      </c>
      <c r="I390" s="267">
        <f>23.11744</f>
        <v>23.117439999999998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332.29964000000001</v>
      </c>
      <c r="G391" s="286">
        <f t="shared" si="19"/>
        <v>7730.4076500000019</v>
      </c>
      <c r="H391" s="286">
        <f>H380+H385+H386+H389+H390</f>
        <v>28751.592350000003</v>
      </c>
      <c r="I391" s="286">
        <f t="shared" si="19"/>
        <v>7994.0335399999994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121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68.896000000000001</v>
      </c>
      <c r="F419" s="36">
        <f>SUM(F420:F421)</f>
        <v>709.26837999999998</v>
      </c>
      <c r="G419" s="85">
        <f>D419-F419</f>
        <v>525.73162000000002</v>
      </c>
      <c r="H419" s="36">
        <f>SUM(H420:H421)</f>
        <v>1054.10268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54.5106</f>
        <v>54.510599999999997</v>
      </c>
      <c r="F420" s="30">
        <f>495.00764</f>
        <v>495.00763999999998</v>
      </c>
      <c r="G420" s="97"/>
      <c r="H420" s="30">
        <f>750.00168</f>
        <v>750.00167999999996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14.3854</f>
        <v>14.385400000000001</v>
      </c>
      <c r="F421" s="30">
        <f>214.26074</f>
        <v>214.26074</v>
      </c>
      <c r="G421" s="108"/>
      <c r="H421" s="30">
        <f>304.101</f>
        <v>304.101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68.896000000000001</v>
      </c>
      <c r="F423" s="40">
        <f>F413+F416+F419+F422</f>
        <v>2919.6685899999998</v>
      </c>
      <c r="G423" s="41"/>
      <c r="H423" s="40">
        <f>H413+H416+H419+H422</f>
        <v>4786.1463400000002</v>
      </c>
      <c r="I423" s="27"/>
      <c r="J423" s="130"/>
    </row>
    <row r="424" spans="1:10" ht="42" customHeight="1" x14ac:dyDescent="0.25">
      <c r="A424" s="217"/>
      <c r="B424" s="72"/>
      <c r="C424" s="292" t="s">
        <v>122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18&amp;R06.05.2024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Olav Lekve</cp:lastModifiedBy>
  <cp:lastPrinted>2022-11-14T12:51:47Z</cp:lastPrinted>
  <dcterms:created xsi:type="dcterms:W3CDTF">2022-08-01T13:23:35Z</dcterms:created>
  <dcterms:modified xsi:type="dcterms:W3CDTF">2024-05-06T13:00:10Z</dcterms:modified>
</cp:coreProperties>
</file>