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4AD90587-5B4C-4DF0-88D1-394FD89E93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423" i="1"/>
  <c r="H422" i="1"/>
  <c r="F422" i="1"/>
  <c r="G422" i="1" s="1"/>
  <c r="E422" i="1"/>
  <c r="H421" i="1"/>
  <c r="F421" i="1"/>
  <c r="E421" i="1"/>
  <c r="E419" i="1" s="1"/>
  <c r="H420" i="1"/>
  <c r="H419" i="1" s="1"/>
  <c r="F420" i="1"/>
  <c r="E420" i="1"/>
  <c r="F419" i="1"/>
  <c r="G419" i="1" s="1"/>
  <c r="H418" i="1"/>
  <c r="F418" i="1"/>
  <c r="F416" i="1" s="1"/>
  <c r="G416" i="1" s="1"/>
  <c r="E418" i="1"/>
  <c r="H417" i="1"/>
  <c r="F417" i="1"/>
  <c r="E417" i="1"/>
  <c r="H416" i="1"/>
  <c r="E416" i="1"/>
  <c r="H415" i="1"/>
  <c r="F415" i="1"/>
  <c r="E415" i="1"/>
  <c r="H414" i="1"/>
  <c r="F414" i="1"/>
  <c r="F413" i="1" s="1"/>
  <c r="E414" i="1"/>
  <c r="E413" i="1" s="1"/>
  <c r="H413" i="1"/>
  <c r="D391" i="1"/>
  <c r="I390" i="1"/>
  <c r="G390" i="1"/>
  <c r="H390" i="1" s="1"/>
  <c r="F390" i="1"/>
  <c r="I389" i="1"/>
  <c r="H389" i="1"/>
  <c r="G389" i="1"/>
  <c r="F389" i="1"/>
  <c r="I388" i="1"/>
  <c r="I386" i="1" s="1"/>
  <c r="G388" i="1"/>
  <c r="F388" i="1"/>
  <c r="I387" i="1"/>
  <c r="G387" i="1"/>
  <c r="F387" i="1"/>
  <c r="F386" i="1" s="1"/>
  <c r="G386" i="1"/>
  <c r="H386" i="1" s="1"/>
  <c r="I385" i="1"/>
  <c r="H385" i="1"/>
  <c r="G385" i="1"/>
  <c r="F385" i="1"/>
  <c r="I384" i="1"/>
  <c r="G384" i="1"/>
  <c r="G380" i="1" s="1"/>
  <c r="G391" i="1" s="1"/>
  <c r="F384" i="1"/>
  <c r="I383" i="1"/>
  <c r="H383" i="1"/>
  <c r="G383" i="1"/>
  <c r="F383" i="1"/>
  <c r="F380" i="1" s="1"/>
  <c r="I382" i="1"/>
  <c r="G382" i="1"/>
  <c r="H382" i="1" s="1"/>
  <c r="F382" i="1"/>
  <c r="I381" i="1"/>
  <c r="H381" i="1"/>
  <c r="G381" i="1"/>
  <c r="F381" i="1"/>
  <c r="I380" i="1"/>
  <c r="D380" i="1"/>
  <c r="H372" i="1"/>
  <c r="F372" i="1"/>
  <c r="H354" i="1"/>
  <c r="E354" i="1"/>
  <c r="D354" i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F350" i="1"/>
  <c r="F354" i="1" s="1"/>
  <c r="E350" i="1"/>
  <c r="D343" i="1"/>
  <c r="D299" i="1"/>
  <c r="H298" i="1"/>
  <c r="G298" i="1"/>
  <c r="F298" i="1"/>
  <c r="E298" i="1"/>
  <c r="H297" i="1"/>
  <c r="F297" i="1"/>
  <c r="E297" i="1"/>
  <c r="H296" i="1"/>
  <c r="H295" i="1" s="1"/>
  <c r="H299" i="1" s="1"/>
  <c r="F296" i="1"/>
  <c r="F295" i="1" s="1"/>
  <c r="E296" i="1"/>
  <c r="E295" i="1"/>
  <c r="E299" i="1" s="1"/>
  <c r="D253" i="1"/>
  <c r="H252" i="1"/>
  <c r="F252" i="1"/>
  <c r="G252" i="1" s="1"/>
  <c r="E252" i="1"/>
  <c r="H251" i="1"/>
  <c r="F251" i="1"/>
  <c r="F249" i="1" s="1"/>
  <c r="E251" i="1"/>
  <c r="H250" i="1"/>
  <c r="F250" i="1"/>
  <c r="E250" i="1"/>
  <c r="H249" i="1"/>
  <c r="H253" i="1" s="1"/>
  <c r="E249" i="1"/>
  <c r="E253" i="1" s="1"/>
  <c r="H207" i="1"/>
  <c r="D207" i="1"/>
  <c r="H206" i="1"/>
  <c r="F206" i="1"/>
  <c r="G206" i="1" s="1"/>
  <c r="E206" i="1"/>
  <c r="H205" i="1"/>
  <c r="F205" i="1"/>
  <c r="G205" i="1" s="1"/>
  <c r="E205" i="1"/>
  <c r="H204" i="1"/>
  <c r="F204" i="1"/>
  <c r="G204" i="1" s="1"/>
  <c r="E204" i="1"/>
  <c r="E207" i="1" s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E178" i="1" s="1"/>
  <c r="E184" i="1" s="1"/>
  <c r="H178" i="1"/>
  <c r="H177" i="1"/>
  <c r="G177" i="1"/>
  <c r="F177" i="1"/>
  <c r="E177" i="1"/>
  <c r="H176" i="1"/>
  <c r="H184" i="1" s="1"/>
  <c r="F176" i="1"/>
  <c r="E176" i="1"/>
  <c r="H175" i="1"/>
  <c r="F175" i="1"/>
  <c r="F184" i="1" s="1"/>
  <c r="E175" i="1"/>
  <c r="D167" i="1"/>
  <c r="D169" i="1" s="1"/>
  <c r="I148" i="1"/>
  <c r="H148" i="1"/>
  <c r="G148" i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H139" i="1" s="1"/>
  <c r="G140" i="1"/>
  <c r="G139" i="1" s="1"/>
  <c r="F140" i="1"/>
  <c r="F139" i="1" s="1"/>
  <c r="I139" i="1"/>
  <c r="E139" i="1"/>
  <c r="D139" i="1"/>
  <c r="D133" i="1" s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H133" i="1" s="1"/>
  <c r="F135" i="1"/>
  <c r="F134" i="1" s="1"/>
  <c r="F133" i="1" s="1"/>
  <c r="I134" i="1"/>
  <c r="I133" i="1" s="1"/>
  <c r="G134" i="1"/>
  <c r="E134" i="1"/>
  <c r="D134" i="1"/>
  <c r="E133" i="1"/>
  <c r="E150" i="1" s="1"/>
  <c r="I132" i="1"/>
  <c r="F132" i="1"/>
  <c r="I131" i="1"/>
  <c r="G131" i="1"/>
  <c r="H131" i="1" s="1"/>
  <c r="F131" i="1"/>
  <c r="I130" i="1"/>
  <c r="G130" i="1"/>
  <c r="H130" i="1" s="1"/>
  <c r="F130" i="1"/>
  <c r="I129" i="1"/>
  <c r="I128" i="1" s="1"/>
  <c r="I150" i="1" s="1"/>
  <c r="G129" i="1"/>
  <c r="G128" i="1" s="1"/>
  <c r="F129" i="1"/>
  <c r="F128" i="1"/>
  <c r="E128" i="1"/>
  <c r="D128" i="1"/>
  <c r="D150" i="1" s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G97" i="1"/>
  <c r="H97" i="1" s="1"/>
  <c r="H96" i="1" s="1"/>
  <c r="H95" i="1" s="1"/>
  <c r="F97" i="1"/>
  <c r="F96" i="1" s="1"/>
  <c r="F95" i="1" s="1"/>
  <c r="I96" i="1"/>
  <c r="I95" i="1" s="1"/>
  <c r="E96" i="1"/>
  <c r="D96" i="1"/>
  <c r="E95" i="1"/>
  <c r="D95" i="1"/>
  <c r="I94" i="1"/>
  <c r="G94" i="1"/>
  <c r="H94" i="1" s="1"/>
  <c r="H92" i="1" s="1"/>
  <c r="H107" i="1" s="1"/>
  <c r="F94" i="1"/>
  <c r="I93" i="1"/>
  <c r="I92" i="1" s="1"/>
  <c r="I107" i="1" s="1"/>
  <c r="H93" i="1"/>
  <c r="G93" i="1"/>
  <c r="F93" i="1"/>
  <c r="G92" i="1"/>
  <c r="F92" i="1"/>
  <c r="F107" i="1" s="1"/>
  <c r="E92" i="1"/>
  <c r="E107" i="1" s="1"/>
  <c r="D92" i="1"/>
  <c r="D107" i="1" s="1"/>
  <c r="C89" i="1"/>
  <c r="H85" i="1"/>
  <c r="F85" i="1"/>
  <c r="D85" i="1"/>
  <c r="G61" i="1"/>
  <c r="G60" i="1"/>
  <c r="H55" i="1"/>
  <c r="I32" i="1" s="1"/>
  <c r="G55" i="1"/>
  <c r="F55" i="1"/>
  <c r="G32" i="1" s="1"/>
  <c r="H32" i="1" s="1"/>
  <c r="E55" i="1"/>
  <c r="F32" i="1" s="1"/>
  <c r="I43" i="1"/>
  <c r="H43" i="1"/>
  <c r="G43" i="1"/>
  <c r="F43" i="1"/>
  <c r="H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I34" i="1" s="1"/>
  <c r="G35" i="1"/>
  <c r="H35" i="1" s="1"/>
  <c r="F35" i="1"/>
  <c r="F34" i="1" s="1"/>
  <c r="E35" i="1"/>
  <c r="D34" i="1"/>
  <c r="I33" i="1"/>
  <c r="H33" i="1"/>
  <c r="G33" i="1"/>
  <c r="F33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D26" i="1" s="1"/>
  <c r="D44" i="1" s="1"/>
  <c r="E26" i="1"/>
  <c r="I25" i="1"/>
  <c r="H25" i="1"/>
  <c r="G25" i="1"/>
  <c r="F25" i="1"/>
  <c r="F23" i="1" s="1"/>
  <c r="I24" i="1"/>
  <c r="I23" i="1" s="1"/>
  <c r="H24" i="1"/>
  <c r="H23" i="1" s="1"/>
  <c r="G24" i="1"/>
  <c r="F24" i="1"/>
  <c r="G23" i="1"/>
  <c r="E23" i="1"/>
  <c r="E44" i="1" s="1"/>
  <c r="D23" i="1"/>
  <c r="H16" i="1"/>
  <c r="F16" i="1"/>
  <c r="D16" i="1"/>
  <c r="F27" i="1" l="1"/>
  <c r="F26" i="1" s="1"/>
  <c r="F44" i="1" s="1"/>
  <c r="H27" i="1"/>
  <c r="I27" i="1"/>
  <c r="G184" i="1"/>
  <c r="F423" i="1"/>
  <c r="G413" i="1"/>
  <c r="I391" i="1"/>
  <c r="F391" i="1"/>
  <c r="G27" i="1"/>
  <c r="I26" i="1"/>
  <c r="I44" i="1" s="1"/>
  <c r="F150" i="1"/>
  <c r="G207" i="1"/>
  <c r="F253" i="1"/>
  <c r="G253" i="1" s="1"/>
  <c r="G249" i="1"/>
  <c r="F299" i="1"/>
  <c r="G299" i="1" s="1"/>
  <c r="G295" i="1"/>
  <c r="G133" i="1"/>
  <c r="G150" i="1" s="1"/>
  <c r="G354" i="1"/>
  <c r="H423" i="1"/>
  <c r="E423" i="1"/>
  <c r="G423" i="1"/>
  <c r="G34" i="1"/>
  <c r="F207" i="1"/>
  <c r="G96" i="1"/>
  <c r="G95" i="1" s="1"/>
  <c r="G107" i="1" s="1"/>
  <c r="H129" i="1"/>
  <c r="H128" i="1" s="1"/>
  <c r="H150" i="1" s="1"/>
  <c r="G350" i="1"/>
  <c r="H384" i="1"/>
  <c r="H380" i="1" s="1"/>
  <c r="H391" i="1" s="1"/>
  <c r="G175" i="1"/>
  <c r="H34" i="1" l="1"/>
  <c r="H26" i="1" s="1"/>
  <c r="H44" i="1" s="1"/>
  <c r="G26" i="1"/>
  <c r="G44" i="1" s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<sst xmlns="http://schemas.openxmlformats.org/spreadsheetml/2006/main" count="359" uniqueCount="151">
  <si>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</si>
  <si>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</si>
  <si>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</si>
  <si>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</si>
  <si>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</si>
  <si>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</si>
  <si>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</si>
  <si>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</si>
  <si>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</si>
  <si>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</si>
  <si>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</si>
  <si>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</si>
  <si>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</si>
  <si>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</si>
  <si>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</si>
  <si>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</si>
  <si>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</si>
  <si>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</si>
  <si>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</si>
  <si>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</si>
  <si>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</si>
  <si>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</si>
  <si>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</si>
  <si>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</si>
  <si>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</si>
  <si>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</si>
  <si>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</si>
  <si>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</si>
  <si>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</si>
  <si>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</si>
  <si>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</si>
  <si>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</si>
  <si>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</si>
  <si>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</si>
  <si>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</si>
  <si>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</si>
  <si>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</si>
  <si>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</si>
  <si>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</si>
  <si>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</si>
  <si>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</si>
  <si>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</si>
  <si>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</si>
  <si>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</si>
  <si>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</si>
  <si>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</si>
  <si>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</si>
  <si>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</si>
  <si>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</si>
  <si>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</si>
  <si>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</si>
  <si>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</si>
  <si>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</si>
  <si>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</si>
  <si>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</si>
  <si>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</si>
  <si>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</si>
  <si>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</si>
  <si>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</si>
  <si>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</si>
  <si>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</si>
  <si>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</si>
  <si>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</si>
  <si>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</si>
  <si>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</si>
  <si>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</si>
  <si>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</si>
  <si>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</si>
  <si>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</si>
  <si>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</si>
  <si>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</si>
  <si>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</si>
  <si>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</si>
  <si>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</si>
  <si>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</si>
  <si>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</si>
  <si>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</si>
  <si>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</si>
  <si>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</si>
  <si>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</si>
  <si>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</si>
  <si>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</si>
  <si>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</si>
  <si>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</si>
  <si>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</si>
  <si>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</si>
  <si>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</si>
  <si>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</si>
  <si>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</si>
  <si>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</si>
  <si>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</si>
  <si>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</si>
  <si>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</si>
  <si>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</si>
  <si>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</si>
  <si>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</si>
  <si>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</si>
  <si>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</si>
  <si>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</si>
  <si>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</si>
  <si>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</si>
  <si>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</si>
  <si>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</si>
  <si>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</si>
  <si>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</si>
  <si>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</si>
  <si>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</si>
  <si>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</si>
  <si>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</si>
  <si>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</si>
  <si>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</si>
  <si>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</si>
  <si>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</si>
  <si>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</si>
  <si>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</si>
  <si>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</si>
  <si>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</si>
  <si>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</si>
  <si>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</si>
  <si>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</si>
  <si>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</si>
  <si>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</si>
  <si>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</si>
  <si>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</si>
  <si>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</si>
  <si>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</si>
  <si>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</si>
  <si>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</si>
  <si>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</si>
  <si>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</si>
  <si>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</si>
  <si>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</si>
  <si>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</si>
  <si>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</si>
  <si>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</si>
  <si>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</si>
  <si>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</si>
  <si>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</si>
  <si>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</si>
  <si>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</si>
  <si>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</si>
  <si>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</si>
  <si>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</si>
  <si>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2 Registrert rekreasjonsfiske utgjør 59 tonn, men det legges til grunn at hele avsetningen tas</t>
  </si>
  <si>
    <t>4 Registrert rekreasjonsfiske utgjør 461 tonn, men det legges til grunn at hele avsetningen tas</t>
  </si>
  <si>
    <t>3 Registrert rekreasjonsfiske utgjør 822 tonn, men det legges til grunn at hele avsetningen tas</t>
  </si>
  <si>
    <t>FANGST UKE 33</t>
  </si>
  <si>
    <t>FANGST T.O.M UKE 33</t>
  </si>
  <si>
    <t>RESTKVOTER UKE 33</t>
  </si>
  <si>
    <t>FANGST T.O.M UKE 33 2023</t>
  </si>
  <si>
    <r>
      <t>3</t>
    </r>
    <r>
      <rPr>
        <sz val="9"/>
        <color indexed="8"/>
        <rFont val="Calibri"/>
        <family val="2"/>
      </rPr>
      <t xml:space="preserve"> Det er fisket 3 987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</si>
</sst>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>
      <selection activeCell="H13" sqref="H13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3" t="s">
        <v>120</v>
      </c>
      <c r="C2" s="294"/>
      <c r="D2" s="294"/>
      <c r="E2" s="294"/>
      <c r="F2" s="294"/>
      <c r="G2" s="294"/>
      <c r="H2" s="294"/>
      <c r="I2" s="294"/>
      <c r="J2" s="295"/>
    </row>
    <row r="3" spans="1:10" ht="14.85" customHeight="1" x14ac:dyDescent="0.25">
      <c r="A3" s="1"/>
      <c r="B3" s="1"/>
      <c r="C3" s="1" t="s">
        <v>115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115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115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115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115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9" t="s">
        <v>1</v>
      </c>
      <c r="D11" s="300"/>
      <c r="E11" s="299" t="s">
        <v>2</v>
      </c>
      <c r="F11" s="300"/>
      <c r="G11" s="299" t="s">
        <v>3</v>
      </c>
      <c r="H11" s="300"/>
      <c r="I11" s="178"/>
      <c r="J11" s="244"/>
    </row>
    <row r="12" spans="1:10" ht="14.1" customHeight="1" x14ac:dyDescent="0.2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2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2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2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" customHeight="1" x14ac:dyDescent="0.2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25">
      <c r="A17" s="101"/>
      <c r="B17" s="24"/>
      <c r="C17" s="292" t="s">
        <v>139</v>
      </c>
      <c r="D17" s="292"/>
      <c r="E17" s="292"/>
      <c r="F17" s="292"/>
      <c r="G17" s="292"/>
      <c r="H17" s="292"/>
      <c r="I17" s="101"/>
      <c r="J17" s="157"/>
    </row>
    <row r="18" spans="1:10" ht="15" customHeight="1" x14ac:dyDescent="0.2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" customHeight="1" x14ac:dyDescent="0.2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0</v>
      </c>
      <c r="G23" s="28">
        <f t="shared" si="0"/>
        <v>38244.353940000001</v>
      </c>
      <c r="H23" s="11">
        <f t="shared" si="0"/>
        <v>22567.646059999999</v>
      </c>
      <c r="I23" s="11">
        <f t="shared" si="0"/>
        <v>54233.381379999999</v>
      </c>
      <c r="J23" s="244"/>
    </row>
    <row r="24" spans="1:10" ht="14.1" customHeight="1" x14ac:dyDescent="0.25">
      <c r="A24" s="1"/>
      <c r="B24" s="254"/>
      <c r="C24" s="44" t="s">
        <v>20</v>
      </c>
      <c r="D24" s="45">
        <v>61689</v>
      </c>
      <c r="E24" s="45">
        <v>60042</v>
      </c>
      <c r="F24" s="23">
        <f>0</f>
        <v>0</v>
      </c>
      <c r="G24" s="23">
        <f>37721.80515</f>
        <v>37721.80515</v>
      </c>
      <c r="H24" s="23">
        <f>E24-G24</f>
        <v>22320.19485</v>
      </c>
      <c r="I24" s="23">
        <f>53893.06203</f>
        <v>53893.062030000001</v>
      </c>
      <c r="J24" s="244"/>
    </row>
    <row r="25" spans="1:10" ht="14.1" customHeight="1" x14ac:dyDescent="0.2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522.54879</f>
        <v>522.54879000000005</v>
      </c>
      <c r="H25" s="23">
        <f>E25-G25</f>
        <v>247.45120999999995</v>
      </c>
      <c r="I25" s="23">
        <f>340.31935</f>
        <v>340.31934999999999</v>
      </c>
      <c r="J25" s="244"/>
    </row>
    <row r="26" spans="1:10" ht="14.1" customHeight="1" x14ac:dyDescent="0.2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1022.2824699999999</v>
      </c>
      <c r="G26" s="11">
        <f t="shared" si="1"/>
        <v>122537.17810000002</v>
      </c>
      <c r="H26" s="11">
        <f t="shared" si="1"/>
        <v>22336.821899999995</v>
      </c>
      <c r="I26" s="11">
        <f t="shared" si="1"/>
        <v>172268.77985000002</v>
      </c>
      <c r="J26" s="244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767.71466999999996</v>
      </c>
      <c r="G27" s="132">
        <f t="shared" ref="G27:I27" si="2">G28+G29+G30+G31+G32</f>
        <v>99802.48378000001</v>
      </c>
      <c r="H27" s="132">
        <f t="shared" si="2"/>
        <v>13175.516219999998</v>
      </c>
      <c r="I27" s="132">
        <f t="shared" si="2"/>
        <v>136630.35252000001</v>
      </c>
      <c r="J27" s="244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101.10184</f>
        <v>101.10184</v>
      </c>
      <c r="G28" s="127">
        <f>26172.81346 - F56</f>
        <v>25834.813460000001</v>
      </c>
      <c r="H28" s="127">
        <f t="shared" ref="H28:H40" si="3">E28-G28</f>
        <v>2795.1865399999988</v>
      </c>
      <c r="I28" s="127">
        <f>36830.05902 - H56</f>
        <v>36305.059020000001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213.16828</f>
        <v>213.16828000000001</v>
      </c>
      <c r="G29" s="127">
        <f>27866.9243 - F57</f>
        <v>27407.924299999999</v>
      </c>
      <c r="H29" s="127">
        <f t="shared" si="3"/>
        <v>2257.0757000000012</v>
      </c>
      <c r="I29" s="127">
        <f>38283.49737 - H57</f>
        <v>37272.497369999997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122.67999</f>
        <v>122.67999</v>
      </c>
      <c r="G30" s="127">
        <f>26334.02646 - F58</f>
        <v>25570.026460000001</v>
      </c>
      <c r="H30" s="127">
        <f t="shared" si="3"/>
        <v>1673.973539999999</v>
      </c>
      <c r="I30" s="127">
        <f>36743.60313 - H58</f>
        <v>34750.603130000003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117.76456</f>
        <v>117.76456</v>
      </c>
      <c r="G31" s="127">
        <f>19428.71956 - F59</f>
        <v>18804.719560000001</v>
      </c>
      <c r="H31" s="127">
        <f t="shared" si="3"/>
        <v>534.28043999999863</v>
      </c>
      <c r="I31" s="127">
        <f>24773.193 - H59</f>
        <v>23862.192999999999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213</v>
      </c>
      <c r="G32" s="127">
        <f>F55</f>
        <v>2185</v>
      </c>
      <c r="H32" s="127">
        <f t="shared" si="3"/>
        <v>5915</v>
      </c>
      <c r="I32" s="127">
        <f>H55</f>
        <v>4440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100.49818</f>
        <v>100.49818</v>
      </c>
      <c r="G33" s="132">
        <f>10780.81034</f>
        <v>10780.81034</v>
      </c>
      <c r="H33" s="132">
        <f t="shared" si="3"/>
        <v>6078.18966</v>
      </c>
      <c r="I33" s="132">
        <f>15508.27919</f>
        <v>15508.279189999999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154.06961999999999</v>
      </c>
      <c r="G34" s="132">
        <f>G35+G36</f>
        <v>11953.883980000001</v>
      </c>
      <c r="H34" s="132">
        <f t="shared" si="3"/>
        <v>3083.1160199999995</v>
      </c>
      <c r="I34" s="132">
        <f>I35+I36</f>
        <v>20130.148140000001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66.06962</f>
        <v>66.06962</v>
      </c>
      <c r="G35" s="132">
        <f>14696.88398 - F60 - F61</f>
        <v>11648.883980000001</v>
      </c>
      <c r="H35" s="127">
        <f t="shared" si="3"/>
        <v>2428.1160199999995</v>
      </c>
      <c r="I35" s="127">
        <f>24474.14814 - H60 - H61</f>
        <v>19726.148140000001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88</v>
      </c>
      <c r="G36" s="71">
        <f>F60</f>
        <v>305</v>
      </c>
      <c r="H36" s="71">
        <f t="shared" si="3"/>
        <v>655</v>
      </c>
      <c r="I36" s="71">
        <f>H60</f>
        <v>404</v>
      </c>
      <c r="J36" s="65"/>
    </row>
    <row r="37" spans="1:13" ht="15.75" customHeight="1" x14ac:dyDescent="0.2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" customHeight="1" x14ac:dyDescent="0.25">
      <c r="A38" s="1"/>
      <c r="B38" s="254"/>
      <c r="C38" s="73" t="s">
        <v>34</v>
      </c>
      <c r="D38" s="143">
        <v>855</v>
      </c>
      <c r="E38" s="143">
        <v>855</v>
      </c>
      <c r="F38" s="98">
        <f>1.49978</f>
        <v>1.4997799999999999</v>
      </c>
      <c r="G38" s="98">
        <f>471.27873</f>
        <v>471.27873</v>
      </c>
      <c r="H38" s="98">
        <f t="shared" si="3"/>
        <v>383.72127</v>
      </c>
      <c r="I38" s="98">
        <f>486.66974</f>
        <v>486.66973999999999</v>
      </c>
      <c r="J38" s="244"/>
    </row>
    <row r="39" spans="1:13" ht="17.25" customHeight="1" x14ac:dyDescent="0.25">
      <c r="A39" s="1"/>
      <c r="B39" s="254"/>
      <c r="C39" s="73" t="s">
        <v>35</v>
      </c>
      <c r="D39" s="143">
        <v>3000</v>
      </c>
      <c r="E39" s="143">
        <v>3000</v>
      </c>
      <c r="F39" s="98">
        <f>E61</f>
        <v>22</v>
      </c>
      <c r="G39" s="98">
        <f>F61</f>
        <v>2743</v>
      </c>
      <c r="H39" s="98">
        <f t="shared" si="3"/>
        <v>257</v>
      </c>
      <c r="I39" s="98">
        <f>H61</f>
        <v>4344</v>
      </c>
      <c r="J39" s="244"/>
    </row>
    <row r="40" spans="1:13" ht="17.25" customHeight="1" x14ac:dyDescent="0.25">
      <c r="A40" s="1"/>
      <c r="B40" s="254"/>
      <c r="C40" s="73" t="s">
        <v>36</v>
      </c>
      <c r="D40" s="143">
        <v>7000</v>
      </c>
      <c r="E40" s="143">
        <v>7000</v>
      </c>
      <c r="F40" s="98">
        <f>11.23166</f>
        <v>11.23166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25">
      <c r="A41" s="1"/>
      <c r="B41" s="254"/>
      <c r="C41" s="73" t="s">
        <v>38</v>
      </c>
      <c r="D41" s="143">
        <v>400</v>
      </c>
      <c r="E41" s="143">
        <v>400</v>
      </c>
      <c r="F41" s="98">
        <f>1.2093</f>
        <v>1.2093</v>
      </c>
      <c r="G41" s="98">
        <f>333.18521</f>
        <v>333.18520999999998</v>
      </c>
      <c r="H41" s="98">
        <f>E41-G41</f>
        <v>66.814790000000016</v>
      </c>
      <c r="I41" s="98">
        <f>352.86265</f>
        <v>352.86264999999997</v>
      </c>
      <c r="J41" s="244"/>
    </row>
    <row r="42" spans="1:13" ht="17.25" customHeight="1" x14ac:dyDescent="0.25">
      <c r="A42" s="1"/>
      <c r="B42" s="254"/>
      <c r="C42" s="73" t="s">
        <v>127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" customHeight="1" x14ac:dyDescent="0.25">
      <c r="A43" s="1"/>
      <c r="B43" s="254"/>
      <c r="C43" s="73" t="s">
        <v>39</v>
      </c>
      <c r="D43" s="143"/>
      <c r="E43" s="139"/>
      <c r="F43" s="139">
        <f>0</f>
        <v>0</v>
      </c>
      <c r="G43" s="139">
        <f>101.59228</f>
        <v>101.59228</v>
      </c>
      <c r="H43" s="139">
        <f t="shared" ref="H43" si="4">E43-G43</f>
        <v>-101.59228</v>
      </c>
      <c r="I43" s="139">
        <f>83.79167</f>
        <v>83.791669999999996</v>
      </c>
      <c r="J43" s="244"/>
    </row>
    <row r="44" spans="1:13" ht="16.5" customHeight="1" x14ac:dyDescent="0.2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1058.2232099999997</v>
      </c>
      <c r="G44" s="76">
        <f t="shared" si="5"/>
        <v>171778.95346000002</v>
      </c>
      <c r="H44" s="76">
        <f t="shared" si="5"/>
        <v>47262.046539999996</v>
      </c>
      <c r="I44" s="76">
        <f t="shared" si="5"/>
        <v>239516.27689000004</v>
      </c>
      <c r="J44" s="244"/>
    </row>
    <row r="45" spans="1:13" ht="14.1" customHeight="1" x14ac:dyDescent="0.25">
      <c r="A45" s="101"/>
      <c r="B45" s="24"/>
      <c r="C45" s="77" t="s">
        <v>128</v>
      </c>
      <c r="D45" s="258"/>
      <c r="E45" s="258"/>
      <c r="F45" s="80"/>
      <c r="G45" s="80"/>
      <c r="H45" s="228"/>
      <c r="I45" s="228"/>
      <c r="J45" s="81"/>
    </row>
    <row r="46" spans="1:13" ht="14.1" customHeight="1" x14ac:dyDescent="0.2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" customHeight="1" x14ac:dyDescent="0.2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129</v>
      </c>
      <c r="D48" s="258"/>
      <c r="E48" s="258"/>
      <c r="F48" s="258"/>
      <c r="G48" s="258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" customHeight="1" x14ac:dyDescent="0.2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2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2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2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146</v>
      </c>
      <c r="F54" s="68" t="s">
        <v>147</v>
      </c>
      <c r="G54" s="68" t="s">
        <v>148</v>
      </c>
      <c r="H54" s="68" t="s">
        <v>149</v>
      </c>
      <c r="I54" s="258"/>
      <c r="J54" s="244"/>
    </row>
    <row r="55" spans="1:10" ht="14.1" customHeight="1" x14ac:dyDescent="0.25">
      <c r="A55" s="101"/>
      <c r="B55" s="24"/>
      <c r="C55" s="16" t="s">
        <v>45</v>
      </c>
      <c r="D55" s="304">
        <v>7872</v>
      </c>
      <c r="E55" s="11">
        <f>E59+E58+E57+E56</f>
        <v>213</v>
      </c>
      <c r="F55" s="11">
        <f>F59+F58+F57+F56</f>
        <v>2185</v>
      </c>
      <c r="G55" s="304">
        <f>D55-F55</f>
        <v>5687</v>
      </c>
      <c r="H55" s="11">
        <f>H59+H58+H57+H56</f>
        <v>4440</v>
      </c>
      <c r="I55" s="258"/>
      <c r="J55" s="244"/>
    </row>
    <row r="56" spans="1:10" ht="14.1" customHeight="1" x14ac:dyDescent="0.25">
      <c r="A56" s="101"/>
      <c r="B56" s="24"/>
      <c r="C56" s="62" t="s">
        <v>24</v>
      </c>
      <c r="D56" s="305"/>
      <c r="E56" s="127">
        <v>32</v>
      </c>
      <c r="F56" s="127">
        <v>338</v>
      </c>
      <c r="G56" s="305"/>
      <c r="H56" s="127">
        <v>525</v>
      </c>
      <c r="I56" s="258"/>
      <c r="J56" s="244"/>
    </row>
    <row r="57" spans="1:10" ht="14.1" customHeight="1" x14ac:dyDescent="0.25">
      <c r="A57" s="101"/>
      <c r="B57" s="24"/>
      <c r="C57" s="62" t="s">
        <v>25</v>
      </c>
      <c r="D57" s="305"/>
      <c r="E57" s="127">
        <v>40</v>
      </c>
      <c r="F57" s="127">
        <v>459</v>
      </c>
      <c r="G57" s="305"/>
      <c r="H57" s="127">
        <v>1011</v>
      </c>
      <c r="I57" s="258"/>
      <c r="J57" s="244"/>
    </row>
    <row r="58" spans="1:10" ht="14.1" customHeight="1" x14ac:dyDescent="0.25">
      <c r="A58" s="101"/>
      <c r="B58" s="24"/>
      <c r="C58" s="62" t="s">
        <v>26</v>
      </c>
      <c r="D58" s="305"/>
      <c r="E58" s="127">
        <v>59</v>
      </c>
      <c r="F58" s="127">
        <v>764</v>
      </c>
      <c r="G58" s="305"/>
      <c r="H58" s="127">
        <v>1993</v>
      </c>
      <c r="I58" s="258"/>
      <c r="J58" s="244"/>
    </row>
    <row r="59" spans="1:10" ht="14.1" customHeight="1" x14ac:dyDescent="0.25">
      <c r="A59" s="101"/>
      <c r="B59" s="24"/>
      <c r="C59" s="87" t="s">
        <v>27</v>
      </c>
      <c r="D59" s="306"/>
      <c r="E59" s="192">
        <v>82</v>
      </c>
      <c r="F59" s="192">
        <v>624</v>
      </c>
      <c r="G59" s="306"/>
      <c r="H59" s="192">
        <v>911</v>
      </c>
      <c r="I59" s="258"/>
      <c r="J59" s="244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88</v>
      </c>
      <c r="F60" s="95">
        <v>305</v>
      </c>
      <c r="G60" s="95">
        <f>D60-F60</f>
        <v>655</v>
      </c>
      <c r="H60" s="95">
        <v>404</v>
      </c>
      <c r="I60" s="258"/>
      <c r="J60" s="244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22</v>
      </c>
      <c r="F61" s="139">
        <v>2743</v>
      </c>
      <c r="G61" s="139">
        <f>D61-F61</f>
        <v>257</v>
      </c>
      <c r="H61" s="139">
        <v>4344</v>
      </c>
      <c r="I61" s="258"/>
      <c r="J61" s="244"/>
    </row>
    <row r="62" spans="1:10" ht="14.1" customHeight="1" x14ac:dyDescent="0.25">
      <c r="A62" s="101"/>
      <c r="B62" s="24"/>
      <c r="C62" s="77" t="s">
        <v>130</v>
      </c>
      <c r="D62" s="258"/>
      <c r="E62" s="258"/>
      <c r="F62" s="258"/>
      <c r="G62" s="258"/>
      <c r="H62" s="178"/>
      <c r="I62" s="178"/>
      <c r="J62" s="120"/>
    </row>
    <row r="63" spans="1:10" ht="14.1" customHeight="1" x14ac:dyDescent="0.2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2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115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07.25" customHeight="1" x14ac:dyDescent="0.25"/>
    <row r="78" spans="1:10" ht="17.100000000000001" customHeight="1" x14ac:dyDescent="0.2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9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9" t="s">
        <v>1</v>
      </c>
      <c r="D81" s="300"/>
      <c r="E81" s="299" t="s">
        <v>2</v>
      </c>
      <c r="F81" s="307"/>
      <c r="G81" s="299" t="s">
        <v>3</v>
      </c>
      <c r="H81" s="300"/>
      <c r="I81" s="178"/>
      <c r="J81" s="244"/>
    </row>
    <row r="82" spans="1:10" ht="15" customHeight="1" x14ac:dyDescent="0.2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2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" customHeight="1" x14ac:dyDescent="0.2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2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25">
      <c r="A86" s="1"/>
      <c r="B86" s="254"/>
      <c r="C86" s="101" t="s">
        <v>140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2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" customHeight="1" x14ac:dyDescent="0.2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2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2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" customHeight="1" x14ac:dyDescent="0.2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0</v>
      </c>
      <c r="G92" s="11">
        <f t="shared" si="6"/>
        <v>23335.933280000001</v>
      </c>
      <c r="H92" s="11">
        <f t="shared" si="6"/>
        <v>2625.0667200000003</v>
      </c>
      <c r="I92" s="11">
        <f t="shared" si="6"/>
        <v>39272.897440000001</v>
      </c>
      <c r="J92" s="244"/>
    </row>
    <row r="93" spans="1:10" ht="15" customHeight="1" x14ac:dyDescent="0.25">
      <c r="A93" s="1"/>
      <c r="B93" s="254"/>
      <c r="C93" s="44" t="s">
        <v>20</v>
      </c>
      <c r="D93" s="45">
        <v>25957</v>
      </c>
      <c r="E93" s="45">
        <v>25136</v>
      </c>
      <c r="F93" s="23">
        <f>0</f>
        <v>0</v>
      </c>
      <c r="G93" s="23">
        <f>22556.71603</f>
        <v>22556.71603</v>
      </c>
      <c r="H93" s="23">
        <f>E93-G93</f>
        <v>2579.2839700000004</v>
      </c>
      <c r="I93" s="23">
        <f>38772.62725</f>
        <v>38772.627249999998</v>
      </c>
      <c r="J93" s="244"/>
    </row>
    <row r="94" spans="1:10" ht="14.1" customHeight="1" x14ac:dyDescent="0.2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779.21725</f>
        <v>779.21725000000004</v>
      </c>
      <c r="H94" s="50">
        <f>E94-G94</f>
        <v>45.782749999999965</v>
      </c>
      <c r="I94" s="50">
        <f>500.27019</f>
        <v>500.27019000000001</v>
      </c>
      <c r="J94" s="244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665.89676000000009</v>
      </c>
      <c r="G95" s="11">
        <f t="shared" si="7"/>
        <v>37170.999190000002</v>
      </c>
      <c r="H95" s="11">
        <f t="shared" si="7"/>
        <v>11823.00081</v>
      </c>
      <c r="I95" s="11">
        <f t="shared" si="7"/>
        <v>26321.263329999998</v>
      </c>
      <c r="J95" s="244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634.83766000000003</v>
      </c>
      <c r="G96" s="132">
        <f t="shared" si="8"/>
        <v>29953.971590000001</v>
      </c>
      <c r="H96" s="132">
        <f t="shared" si="8"/>
        <v>7540.0284099999999</v>
      </c>
      <c r="I96" s="132">
        <f t="shared" si="8"/>
        <v>19148.800589999999</v>
      </c>
      <c r="J96" s="244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88.86389</f>
        <v>88.863889999999998</v>
      </c>
      <c r="G97" s="127">
        <f>4518.55469</f>
        <v>4518.5546899999999</v>
      </c>
      <c r="H97" s="127">
        <f t="shared" ref="H97:H104" si="9">E97-G97</f>
        <v>5496.4453100000001</v>
      </c>
      <c r="I97" s="127">
        <f>2729.97873</f>
        <v>2729.9787299999998</v>
      </c>
      <c r="J97" s="244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256.52834</f>
        <v>256.52834000000001</v>
      </c>
      <c r="G98" s="127">
        <f>9877.67753</f>
        <v>9877.6775300000008</v>
      </c>
      <c r="H98" s="127">
        <f t="shared" si="9"/>
        <v>736.32246999999916</v>
      </c>
      <c r="I98" s="127">
        <f>5820.32303</f>
        <v>5820.3230299999996</v>
      </c>
      <c r="J98" s="244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154.87605</f>
        <v>154.87604999999999</v>
      </c>
      <c r="G99" s="127">
        <f>9349.63166</f>
        <v>9349.6316599999991</v>
      </c>
      <c r="H99" s="127">
        <f t="shared" si="9"/>
        <v>762.3683400000009</v>
      </c>
      <c r="I99" s="127">
        <f>5730.93182</f>
        <v>5730.9318199999998</v>
      </c>
      <c r="J99" s="244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134.56938</f>
        <v>134.56938</v>
      </c>
      <c r="G100" s="127">
        <f>6208.10771</f>
        <v>6208.1077100000002</v>
      </c>
      <c r="H100" s="127">
        <f t="shared" si="9"/>
        <v>544.89228999999978</v>
      </c>
      <c r="I100" s="127">
        <f>4867.56701</f>
        <v>4867.5670099999998</v>
      </c>
      <c r="J100" s="244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0.53294</f>
        <v>0.53293999999999997</v>
      </c>
      <c r="G101" s="132">
        <f>5203.13654</f>
        <v>5203.1365400000004</v>
      </c>
      <c r="H101" s="132">
        <f t="shared" si="9"/>
        <v>2392.8634599999996</v>
      </c>
      <c r="I101" s="132">
        <f>5814.15395</f>
        <v>5814.1539499999999</v>
      </c>
      <c r="J101" s="244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30.52616</f>
        <v>30.526160000000001</v>
      </c>
      <c r="G102" s="75">
        <f>2013.89106</f>
        <v>2013.8910599999999</v>
      </c>
      <c r="H102" s="75">
        <f t="shared" si="9"/>
        <v>1890.1089400000001</v>
      </c>
      <c r="I102" s="75">
        <f>1358.30879</f>
        <v>1358.30879</v>
      </c>
      <c r="J102" s="244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4"/>
    </row>
    <row r="104" spans="1:10" ht="18" customHeight="1" x14ac:dyDescent="0.25">
      <c r="A104" s="1"/>
      <c r="B104" s="254"/>
      <c r="C104" s="73" t="s">
        <v>54</v>
      </c>
      <c r="D104" s="143">
        <v>300</v>
      </c>
      <c r="E104" s="143">
        <v>300</v>
      </c>
      <c r="F104" s="139">
        <f>0.35429</f>
        <v>0.35428999999999999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25">
      <c r="A105" s="1"/>
      <c r="B105" s="254"/>
      <c r="C105" s="93" t="s">
        <v>38</v>
      </c>
      <c r="D105" s="143">
        <v>50</v>
      </c>
      <c r="E105" s="143">
        <v>50</v>
      </c>
      <c r="F105" s="98">
        <f>0.071</f>
        <v>7.0999999999999994E-2</v>
      </c>
      <c r="G105" s="98">
        <f>21.79166</f>
        <v>21.79166</v>
      </c>
      <c r="H105" s="139">
        <f>E105-G105</f>
        <v>28.20834</v>
      </c>
      <c r="I105" s="98">
        <f>7.3016</f>
        <v>7.3015999999999996</v>
      </c>
      <c r="J105" s="244"/>
    </row>
    <row r="106" spans="1:10" ht="18" customHeight="1" x14ac:dyDescent="0.25">
      <c r="A106" s="1"/>
      <c r="B106" s="254"/>
      <c r="C106" s="93" t="s">
        <v>55</v>
      </c>
      <c r="D106" s="143"/>
      <c r="E106" s="139"/>
      <c r="F106" s="139">
        <f>0</f>
        <v>0</v>
      </c>
      <c r="G106" s="139">
        <f>27.36596</f>
        <v>27.365960000000001</v>
      </c>
      <c r="H106" s="139">
        <f t="shared" ref="H106" si="10">E106-G106</f>
        <v>-27.365960000000001</v>
      </c>
      <c r="I106" s="139">
        <f>87.95876</f>
        <v>87.958759999999998</v>
      </c>
      <c r="J106" s="244"/>
    </row>
    <row r="107" spans="1:10" ht="16.5" customHeight="1" x14ac:dyDescent="0.2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666.3220500000001</v>
      </c>
      <c r="G107" s="76">
        <f t="shared" si="12"/>
        <v>60892.192850000007</v>
      </c>
      <c r="H107" s="76">
        <f t="shared" si="12"/>
        <v>14731.807150000001</v>
      </c>
      <c r="I107" s="76">
        <f t="shared" si="12"/>
        <v>66000.669800000003</v>
      </c>
      <c r="J107" s="244"/>
    </row>
    <row r="108" spans="1:10" ht="13.5" customHeight="1" x14ac:dyDescent="0.25">
      <c r="A108" s="1"/>
      <c r="B108" s="254"/>
      <c r="C108" s="77" t="s">
        <v>131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2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25">
      <c r="A110" s="1"/>
      <c r="B110" s="24"/>
      <c r="C110" s="161" t="s">
        <v>132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2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115</v>
      </c>
      <c r="D113" s="228"/>
      <c r="E113" s="228"/>
      <c r="F113" s="228"/>
      <c r="G113" s="228"/>
      <c r="H113" s="228"/>
      <c r="I113" s="101"/>
      <c r="J113" s="101" t="s">
        <v>115</v>
      </c>
    </row>
    <row r="114" spans="1:10" ht="14.25" customHeight="1" x14ac:dyDescent="0.25">
      <c r="A114" s="1"/>
      <c r="B114" s="101"/>
      <c r="C114" s="101" t="s">
        <v>115</v>
      </c>
      <c r="D114" s="101" t="s">
        <v>115</v>
      </c>
      <c r="E114" s="101"/>
      <c r="F114" s="101"/>
      <c r="G114" s="101"/>
      <c r="H114" s="101"/>
      <c r="I114" s="101"/>
      <c r="J114" s="101" t="s">
        <v>115</v>
      </c>
    </row>
    <row r="115" spans="1:10" ht="17.100000000000001" customHeight="1" x14ac:dyDescent="0.2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2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" customHeight="1" x14ac:dyDescent="0.2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" customHeight="1" x14ac:dyDescent="0.2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" customHeight="1" x14ac:dyDescent="0.2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2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25">
      <c r="A124" s="101"/>
      <c r="B124" s="24"/>
      <c r="C124" s="101" t="s">
        <v>116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2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" customHeight="1" x14ac:dyDescent="0.2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82.863</v>
      </c>
      <c r="G128" s="11">
        <f t="shared" si="13"/>
        <v>41667.957219999997</v>
      </c>
      <c r="H128" s="11">
        <f t="shared" si="13"/>
        <v>30639.04278</v>
      </c>
      <c r="I128" s="11">
        <f t="shared" si="13"/>
        <v>43665.763400000003</v>
      </c>
      <c r="J128" s="244"/>
    </row>
    <row r="129" spans="1:10" ht="14.1" customHeight="1" x14ac:dyDescent="0.25">
      <c r="A129" s="1"/>
      <c r="B129" s="254"/>
      <c r="C129" s="44" t="s">
        <v>20</v>
      </c>
      <c r="D129" s="45">
        <v>60688</v>
      </c>
      <c r="E129" s="45">
        <v>57562</v>
      </c>
      <c r="F129" s="23">
        <f>82.863</f>
        <v>82.863</v>
      </c>
      <c r="G129" s="23">
        <f>37136.88506</f>
        <v>37136.885060000001</v>
      </c>
      <c r="H129" s="23">
        <f>E129-G129</f>
        <v>20425.114939999999</v>
      </c>
      <c r="I129" s="23">
        <f>38719.0175</f>
        <v>38719.017500000002</v>
      </c>
      <c r="J129" s="244"/>
    </row>
    <row r="130" spans="1:10" ht="15" customHeight="1" x14ac:dyDescent="0.25">
      <c r="A130" s="1"/>
      <c r="B130" s="254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4465.62201</f>
        <v>4465.62201</v>
      </c>
      <c r="H130" s="23">
        <f>E130-G130</f>
        <v>9779.3779900000009</v>
      </c>
      <c r="I130" s="23">
        <f>4831.43965</f>
        <v>4831.4396500000003</v>
      </c>
      <c r="J130" s="244"/>
    </row>
    <row r="131" spans="1:10" ht="13.5" customHeight="1" x14ac:dyDescent="0.2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4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1059.183</f>
        <v>1059.183</v>
      </c>
      <c r="G132" s="95">
        <f>13538.397+3986.9109</f>
        <v>17525.3079</v>
      </c>
      <c r="H132" s="95">
        <f>E132-G132</f>
        <v>34970.6921</v>
      </c>
      <c r="I132" s="95">
        <f>34363.43549</f>
        <v>34363.435490000003</v>
      </c>
      <c r="J132" s="116"/>
    </row>
    <row r="133" spans="1:10" ht="15.75" customHeight="1" x14ac:dyDescent="0.2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891.29333999999994</v>
      </c>
      <c r="G133" s="94">
        <f t="shared" ref="G133" si="14">G134+G139+G142</f>
        <v>52028.434000000001</v>
      </c>
      <c r="H133" s="94">
        <f>H134+H139+H142</f>
        <v>28136.565999999995</v>
      </c>
      <c r="I133" s="94">
        <f>I134+I139+I142</f>
        <v>57446.922360000004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702.56552999999997</v>
      </c>
      <c r="G134" s="125">
        <f>G135+G136+G138+G137</f>
        <v>38389.588990000004</v>
      </c>
      <c r="H134" s="125">
        <f>H135+H136+H137+H138</f>
        <v>20689.411009999996</v>
      </c>
      <c r="I134" s="125">
        <f>I135+I136+I137+I138</f>
        <v>45597.112030000004</v>
      </c>
      <c r="J134" s="280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190.48084</f>
        <v>190.48084</v>
      </c>
      <c r="G135" s="127">
        <v>7896.5599199999997</v>
      </c>
      <c r="H135" s="127">
        <f>E135-G135</f>
        <v>9877.4400800000003</v>
      </c>
      <c r="I135" s="127">
        <f>6979.12686</f>
        <v>6979.1268600000003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168.79064</f>
        <v>168.79064</v>
      </c>
      <c r="G136" s="127">
        <v>11229.680705000001</v>
      </c>
      <c r="H136" s="127">
        <f>E136-G136</f>
        <v>3709.3192949999993</v>
      </c>
      <c r="I136" s="127">
        <f>11695.02821</f>
        <v>11695.02821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164.26365</f>
        <v>164.26365000000001</v>
      </c>
      <c r="G137" s="127">
        <v>9924.6641950000012</v>
      </c>
      <c r="H137" s="127">
        <f>E137-G137</f>
        <v>3126.3358049999988</v>
      </c>
      <c r="I137" s="127">
        <f>14688.78978</f>
        <v>14688.789779999999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179.0304</f>
        <v>179.03039999999999</v>
      </c>
      <c r="G138" s="127">
        <v>9338.6841700000004</v>
      </c>
      <c r="H138" s="127">
        <f>E138-G138</f>
        <v>3976.3158299999996</v>
      </c>
      <c r="I138" s="127">
        <f>12234.16718</f>
        <v>12234.16718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2.4828000000000001</v>
      </c>
      <c r="G139" s="132">
        <f>SUM(G140:G141)</f>
        <v>8863.2381999999998</v>
      </c>
      <c r="H139" s="132">
        <f>H140+H141</f>
        <v>66.761800000000676</v>
      </c>
      <c r="I139" s="132">
        <f>SUM(I140:I141)</f>
        <v>6721.36078</v>
      </c>
      <c r="J139" s="133"/>
    </row>
    <row r="140" spans="1:10" ht="14.1" customHeight="1" x14ac:dyDescent="0.25">
      <c r="A140" s="1"/>
      <c r="B140" s="254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8455.62553</f>
        <v>8455.6255299999993</v>
      </c>
      <c r="H140" s="127">
        <f t="shared" ref="H140:H148" si="15">E140-G140</f>
        <v>-25.625529999999344</v>
      </c>
      <c r="I140" s="127">
        <f>6538.72397</f>
        <v>6538.72397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2.4828</f>
        <v>2.4828000000000001</v>
      </c>
      <c r="G141" s="127">
        <f>407.61267</f>
        <v>407.61266999999998</v>
      </c>
      <c r="H141" s="127">
        <f t="shared" si="15"/>
        <v>92.38733000000002</v>
      </c>
      <c r="I141" s="127">
        <f>182.63681</f>
        <v>182.63681</v>
      </c>
      <c r="J141" s="134"/>
    </row>
    <row r="142" spans="1:10" ht="15.75" customHeight="1" x14ac:dyDescent="0.25">
      <c r="A142" s="1"/>
      <c r="B142" s="254"/>
      <c r="C142" s="38" t="s">
        <v>11</v>
      </c>
      <c r="D142" s="61">
        <v>10907</v>
      </c>
      <c r="E142" s="61">
        <v>12156</v>
      </c>
      <c r="F142" s="75">
        <f>186.24501</f>
        <v>186.24501000000001</v>
      </c>
      <c r="G142" s="75">
        <f>4775.60681</f>
        <v>4775.6068100000002</v>
      </c>
      <c r="H142" s="75">
        <f t="shared" si="15"/>
        <v>7380.3931899999998</v>
      </c>
      <c r="I142" s="75">
        <f>5128.44955</f>
        <v>5128.4495500000003</v>
      </c>
      <c r="J142" s="120"/>
    </row>
    <row r="143" spans="1:10" ht="15.75" customHeight="1" x14ac:dyDescent="0.2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4"/>
      <c r="C145" s="140" t="s">
        <v>69</v>
      </c>
      <c r="D145" s="143">
        <v>2000</v>
      </c>
      <c r="E145" s="143">
        <v>2000</v>
      </c>
      <c r="F145" s="139">
        <f>15.42254</f>
        <v>15.42254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2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4"/>
      <c r="C147" s="142" t="s">
        <v>70</v>
      </c>
      <c r="D147" s="143">
        <v>276</v>
      </c>
      <c r="E147" s="143">
        <v>276</v>
      </c>
      <c r="F147" s="98">
        <f>1.19335</f>
        <v>1.1933499999999999</v>
      </c>
      <c r="G147" s="98">
        <f>45.38898</f>
        <v>45.388979999999997</v>
      </c>
      <c r="H147" s="139">
        <f t="shared" si="15"/>
        <v>230.61102</v>
      </c>
      <c r="I147" s="98">
        <f>26.94243</f>
        <v>26.942430000000002</v>
      </c>
      <c r="J147" s="120"/>
    </row>
    <row r="148" spans="1:10" ht="15" customHeight="1" x14ac:dyDescent="0.25">
      <c r="A148" s="1"/>
      <c r="B148" s="254"/>
      <c r="C148" s="142" t="s">
        <v>39</v>
      </c>
      <c r="D148" s="145"/>
      <c r="E148" s="143"/>
      <c r="F148" s="139">
        <f>0</f>
        <v>0</v>
      </c>
      <c r="G148" s="139">
        <f>114.28194</f>
        <v>114.28194000000001</v>
      </c>
      <c r="H148" s="139">
        <f t="shared" si="15"/>
        <v>-114.28194000000001</v>
      </c>
      <c r="I148" s="139">
        <f>96.51793</f>
        <v>96.517930000000007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2049.95523</v>
      </c>
      <c r="G150" s="76">
        <f>G128+G132+G133+G143+G144+G145+G146+G147+G148</f>
        <v>113653.11859</v>
      </c>
      <c r="H150" s="76">
        <f>H128+H132+H133+H143+H144+H145+H146+H147+H148</f>
        <v>93986.881410000002</v>
      </c>
      <c r="I150" s="76">
        <f>I128+I132+I133+I143+I144+I145+I146+I147+I148</f>
        <v>137892.52361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133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2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25">
      <c r="A156" s="156"/>
      <c r="B156" s="52"/>
      <c r="C156" s="77" t="s">
        <v>134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115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115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115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" customHeight="1" x14ac:dyDescent="0.2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" customHeight="1" x14ac:dyDescent="0.2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" customHeight="1" x14ac:dyDescent="0.2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" customHeight="1" x14ac:dyDescent="0.2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" customHeight="1" x14ac:dyDescent="0.2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2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2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" customHeight="1" x14ac:dyDescent="0.25">
      <c r="A175" s="1"/>
      <c r="B175" s="254"/>
      <c r="C175" s="141" t="s">
        <v>75</v>
      </c>
      <c r="D175" s="94">
        <v>4223</v>
      </c>
      <c r="E175" s="276">
        <f>0</f>
        <v>0</v>
      </c>
      <c r="F175" s="276">
        <f>788.08871</f>
        <v>788.08870999999999</v>
      </c>
      <c r="G175" s="43">
        <f>D175-F175-F176</f>
        <v>2066.6883600000001</v>
      </c>
      <c r="H175" s="276">
        <f>1387.12405</f>
        <v>1387.1240499999999</v>
      </c>
      <c r="I175" s="1"/>
      <c r="J175" s="120"/>
    </row>
    <row r="176" spans="1:10" ht="14.1" customHeight="1" x14ac:dyDescent="0.25">
      <c r="A176" s="1"/>
      <c r="B176" s="254"/>
      <c r="C176" s="137" t="s">
        <v>53</v>
      </c>
      <c r="D176" s="181"/>
      <c r="E176" s="152">
        <f>65.14082</f>
        <v>65.140820000000005</v>
      </c>
      <c r="F176" s="152">
        <f>1368.22293</f>
        <v>1368.2229299999999</v>
      </c>
      <c r="G176" s="217"/>
      <c r="H176" s="152">
        <f>1572.15376</f>
        <v>1572.1537599999999</v>
      </c>
      <c r="I176" s="1"/>
      <c r="J176" s="120"/>
    </row>
    <row r="177" spans="1:10" ht="15.6" customHeight="1" x14ac:dyDescent="0.25">
      <c r="A177" s="1"/>
      <c r="B177" s="254"/>
      <c r="C177" s="169" t="s">
        <v>76</v>
      </c>
      <c r="D177" s="98">
        <v>200</v>
      </c>
      <c r="E177" s="172">
        <f>0.32266</f>
        <v>0.32266</v>
      </c>
      <c r="F177" s="172">
        <f>82.49204</f>
        <v>82.492040000000003</v>
      </c>
      <c r="G177" s="172">
        <f>D177-F177</f>
        <v>117.50796</v>
      </c>
      <c r="H177" s="172">
        <f>71.57216</f>
        <v>71.572159999999997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35.560969999999998</v>
      </c>
      <c r="F178" s="181">
        <f>F179+F180+F181</f>
        <v>5865.6462800000008</v>
      </c>
      <c r="G178" s="181">
        <f>D178-F178</f>
        <v>468.35371999999916</v>
      </c>
      <c r="H178" s="181">
        <f>H179+H180+H181</f>
        <v>7822.1009200000008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15.78166</f>
        <v>15.78166</v>
      </c>
      <c r="F179" s="127">
        <f>3080.86552</f>
        <v>3080.8655199999998</v>
      </c>
      <c r="G179" s="127"/>
      <c r="H179" s="127">
        <f>4121.62293</f>
        <v>4121.6229300000005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17.30345</f>
        <v>17.303450000000002</v>
      </c>
      <c r="F180" s="127">
        <f>1755.76314</f>
        <v>1755.76314</v>
      </c>
      <c r="G180" s="127"/>
      <c r="H180" s="127">
        <f>2340.46267</f>
        <v>2340.4626699999999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2.47586</f>
        <v>2.4758599999999999</v>
      </c>
      <c r="F181" s="192">
        <f>1029.01762</f>
        <v>1029.0176200000001</v>
      </c>
      <c r="G181" s="192"/>
      <c r="H181" s="192">
        <f>1360.01532</f>
        <v>1360.01532</v>
      </c>
      <c r="I181" s="186"/>
      <c r="J181" s="187"/>
    </row>
    <row r="182" spans="1:10" ht="14.1" customHeight="1" x14ac:dyDescent="0.2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2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101.02445</v>
      </c>
      <c r="F184" s="194">
        <f>F175+F176+F177+F178+F182+F183</f>
        <v>8104.4499600000008</v>
      </c>
      <c r="G184" s="194">
        <f>D184-F184</f>
        <v>2718.5500399999992</v>
      </c>
      <c r="H184" s="194">
        <f>H175+H176+H177+H178+H182+H183</f>
        <v>10852.95089</v>
      </c>
      <c r="I184" s="163"/>
      <c r="J184" s="160"/>
    </row>
    <row r="185" spans="1:10" ht="42" customHeight="1" x14ac:dyDescent="0.25">
      <c r="A185" s="1"/>
      <c r="B185" s="198"/>
      <c r="C185" s="227" t="s">
        <v>141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25">
      <c r="A186" s="156" t="s">
        <v>115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115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115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2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4"/>
      <c r="C197" s="101" t="s">
        <v>121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4"/>
      <c r="C198" s="101" t="s">
        <v>122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4"/>
      <c r="C199" s="101" t="s">
        <v>125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2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25">
      <c r="A204" s="1"/>
      <c r="B204" s="254"/>
      <c r="C204" s="90" t="s">
        <v>4</v>
      </c>
      <c r="D204" s="124">
        <v>46282</v>
      </c>
      <c r="E204" s="124">
        <f>0</f>
        <v>0</v>
      </c>
      <c r="F204" s="124">
        <f>38108.94515</f>
        <v>38108.94515</v>
      </c>
      <c r="G204" s="124">
        <f>D204-F204</f>
        <v>8173.0548500000004</v>
      </c>
      <c r="H204" s="124">
        <f>39131.04422</f>
        <v>39131.044220000003</v>
      </c>
      <c r="I204" s="248"/>
      <c r="J204" s="120"/>
    </row>
    <row r="205" spans="1:10" ht="15" customHeight="1" x14ac:dyDescent="0.25">
      <c r="A205" s="1"/>
      <c r="B205" s="254"/>
      <c r="C205" s="90" t="s">
        <v>67</v>
      </c>
      <c r="D205" s="124">
        <v>100</v>
      </c>
      <c r="E205" s="124">
        <f>0.0943</f>
        <v>9.4299999999999995E-2</v>
      </c>
      <c r="F205" s="124">
        <f>27.64912</f>
        <v>27.64912</v>
      </c>
      <c r="G205" s="124">
        <f>D205-F205</f>
        <v>72.350880000000004</v>
      </c>
      <c r="H205" s="124">
        <f>53.56575</f>
        <v>53.565750000000001</v>
      </c>
      <c r="I205" s="248"/>
      <c r="J205" s="120"/>
    </row>
    <row r="206" spans="1:10" ht="15.75" customHeight="1" x14ac:dyDescent="0.2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25">
      <c r="A207" s="1"/>
      <c r="B207" s="254"/>
      <c r="C207" s="179" t="s">
        <v>87</v>
      </c>
      <c r="D207" s="190">
        <f>SUM(D204:D206)</f>
        <v>46418</v>
      </c>
      <c r="E207" s="190">
        <f>SUM(E204:E206)</f>
        <v>9.4299999999999995E-2</v>
      </c>
      <c r="F207" s="190">
        <f>SUM(F204:F206)</f>
        <v>38136.594270000001</v>
      </c>
      <c r="G207" s="190">
        <f>D207-F207</f>
        <v>8281.4057299999986</v>
      </c>
      <c r="H207" s="190">
        <f>SUM(H204:H206)</f>
        <v>39184.609970000005</v>
      </c>
      <c r="I207" s="248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115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35">
      <c r="A243" s="150"/>
      <c r="B243" s="1"/>
      <c r="C243" s="215" t="s">
        <v>117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115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2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25">
      <c r="A249" s="1"/>
      <c r="B249" s="254"/>
      <c r="C249" s="90" t="s">
        <v>123</v>
      </c>
      <c r="D249" s="124">
        <v>3987</v>
      </c>
      <c r="E249" s="75">
        <f>E250+E251</f>
        <v>0.97911999999999999</v>
      </c>
      <c r="F249" s="75">
        <f>F250+F251</f>
        <v>3556.1738399999999</v>
      </c>
      <c r="G249" s="75">
        <f>D249-F249</f>
        <v>430.82616000000007</v>
      </c>
      <c r="H249" s="75">
        <f>H250+H251</f>
        <v>3197.2310199999997</v>
      </c>
      <c r="I249" s="248"/>
      <c r="J249" s="120"/>
    </row>
    <row r="250" spans="1:10" ht="15" customHeight="1" x14ac:dyDescent="0.25">
      <c r="A250" s="1"/>
      <c r="B250" s="254"/>
      <c r="C250" s="177" t="s">
        <v>8</v>
      </c>
      <c r="D250" s="124"/>
      <c r="E250" s="75">
        <f>0.7128</f>
        <v>0.71279999999999999</v>
      </c>
      <c r="F250" s="75">
        <f>3048.07191</f>
        <v>3048.0719100000001</v>
      </c>
      <c r="G250" s="75"/>
      <c r="H250" s="75">
        <f>2688.96037</f>
        <v>2688.9603699999998</v>
      </c>
      <c r="I250" s="248"/>
      <c r="J250" s="120"/>
    </row>
    <row r="251" spans="1:10" ht="15" customHeight="1" x14ac:dyDescent="0.25">
      <c r="A251" s="1"/>
      <c r="B251" s="254"/>
      <c r="C251" s="177" t="s">
        <v>67</v>
      </c>
      <c r="D251" s="124"/>
      <c r="E251" s="124">
        <f>0.26632</f>
        <v>0.26632</v>
      </c>
      <c r="F251" s="124">
        <f>508.10193</f>
        <v>508.10192999999998</v>
      </c>
      <c r="G251" s="168"/>
      <c r="H251" s="124">
        <f>508.27065</f>
        <v>508.27064999999999</v>
      </c>
      <c r="I251" s="248"/>
      <c r="J251" s="120"/>
    </row>
    <row r="252" spans="1:10" ht="15" customHeight="1" x14ac:dyDescent="0.25">
      <c r="A252" s="1"/>
      <c r="B252" s="254"/>
      <c r="C252" s="90" t="s">
        <v>124</v>
      </c>
      <c r="D252" s="124">
        <v>4613</v>
      </c>
      <c r="E252" s="75">
        <f>43.26724</f>
        <v>43.267240000000001</v>
      </c>
      <c r="F252" s="75">
        <f>4940.05591</f>
        <v>4940.05591</v>
      </c>
      <c r="G252" s="75">
        <f>D252-F252</f>
        <v>-327.05591000000004</v>
      </c>
      <c r="H252" s="75">
        <f>4706.12533</f>
        <v>4706.1253299999998</v>
      </c>
      <c r="I252" s="248"/>
      <c r="J252" s="120"/>
    </row>
    <row r="253" spans="1:10" ht="16.5" customHeight="1" x14ac:dyDescent="0.25">
      <c r="A253" s="1"/>
      <c r="B253" s="254"/>
      <c r="C253" s="179" t="s">
        <v>87</v>
      </c>
      <c r="D253" s="190">
        <f>D252+D249</f>
        <v>8600</v>
      </c>
      <c r="E253" s="190">
        <f>SUM(E249,E252)</f>
        <v>44.246360000000003</v>
      </c>
      <c r="F253" s="190">
        <f>SUM(F249,F252)</f>
        <v>8496.2297500000004</v>
      </c>
      <c r="G253" s="190">
        <f>D253-F253</f>
        <v>103.77024999999958</v>
      </c>
      <c r="H253" s="190">
        <f>SUM(H249,H252)</f>
        <v>7903.35635</v>
      </c>
      <c r="I253" s="248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115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35">
      <c r="A289" s="150"/>
      <c r="B289" s="1"/>
      <c r="C289" s="215" t="s">
        <v>118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115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2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25">
      <c r="A295" s="1"/>
      <c r="B295" s="254"/>
      <c r="C295" s="90" t="s">
        <v>123</v>
      </c>
      <c r="D295" s="124">
        <v>5090</v>
      </c>
      <c r="E295" s="75">
        <f>E296+E297</f>
        <v>4.8565800000000001</v>
      </c>
      <c r="F295" s="75">
        <f>F296+F297</f>
        <v>4081.9298600000002</v>
      </c>
      <c r="G295" s="75">
        <f>D295-F295</f>
        <v>1008.0701399999998</v>
      </c>
      <c r="H295" s="75">
        <f>H296+H297</f>
        <v>4611.7322100000001</v>
      </c>
      <c r="I295" s="248"/>
      <c r="J295" s="120"/>
    </row>
    <row r="296" spans="1:10" ht="15" customHeight="1" x14ac:dyDescent="0.25">
      <c r="A296" s="1"/>
      <c r="B296" s="254"/>
      <c r="C296" s="177" t="s">
        <v>8</v>
      </c>
      <c r="D296" s="124"/>
      <c r="E296" s="75">
        <f>3.9176</f>
        <v>3.9176000000000002</v>
      </c>
      <c r="F296" s="75">
        <f>3651.65257</f>
        <v>3651.6525700000002</v>
      </c>
      <c r="G296" s="75"/>
      <c r="H296" s="75">
        <f>4196.38827</f>
        <v>4196.3882700000004</v>
      </c>
      <c r="I296" s="248"/>
      <c r="J296" s="120"/>
    </row>
    <row r="297" spans="1:10" ht="15" customHeight="1" x14ac:dyDescent="0.25">
      <c r="A297" s="1"/>
      <c r="B297" s="254"/>
      <c r="C297" s="177" t="s">
        <v>67</v>
      </c>
      <c r="D297" s="124"/>
      <c r="E297" s="124">
        <f>0.93898</f>
        <v>0.93898000000000004</v>
      </c>
      <c r="F297" s="124">
        <f>430.27729</f>
        <v>430.27728999999999</v>
      </c>
      <c r="G297" s="168"/>
      <c r="H297" s="124">
        <f>415.34394</f>
        <v>415.34393999999998</v>
      </c>
      <c r="I297" s="248"/>
      <c r="J297" s="120"/>
    </row>
    <row r="298" spans="1:10" ht="15" customHeight="1" x14ac:dyDescent="0.25">
      <c r="A298" s="1"/>
      <c r="B298" s="254"/>
      <c r="C298" s="90" t="s">
        <v>124</v>
      </c>
      <c r="D298" s="124">
        <v>2981</v>
      </c>
      <c r="E298" s="75">
        <f>35.31124</f>
        <v>35.311239999999998</v>
      </c>
      <c r="F298" s="75">
        <f>2257.29571</f>
        <v>2257.2957099999999</v>
      </c>
      <c r="G298" s="75">
        <f>D298-F298</f>
        <v>723.70429000000013</v>
      </c>
      <c r="H298" s="75">
        <f>2744.12516</f>
        <v>2744.1251600000001</v>
      </c>
      <c r="I298" s="248"/>
      <c r="J298" s="120"/>
    </row>
    <row r="299" spans="1:10" ht="16.5" customHeight="1" x14ac:dyDescent="0.25">
      <c r="A299" s="1"/>
      <c r="B299" s="254"/>
      <c r="C299" s="179" t="s">
        <v>87</v>
      </c>
      <c r="D299" s="190">
        <f>D298+D295</f>
        <v>8071</v>
      </c>
      <c r="E299" s="190">
        <f>SUM(E295,E298)</f>
        <v>40.167819999999999</v>
      </c>
      <c r="F299" s="190">
        <f>SUM(F295,F298)</f>
        <v>6339.2255700000005</v>
      </c>
      <c r="G299" s="190">
        <f>D299-F299</f>
        <v>1731.7744299999995</v>
      </c>
      <c r="H299" s="190">
        <f>SUM(H295,H298)</f>
        <v>7355.8573699999997</v>
      </c>
      <c r="I299" s="248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115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2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25">
      <c r="A336" s="218" t="s">
        <v>115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" customHeight="1" x14ac:dyDescent="0.2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" customHeight="1" x14ac:dyDescent="0.2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25">
      <c r="A342" s="1"/>
      <c r="B342" s="254"/>
      <c r="C342" s="248" t="s">
        <v>126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2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" customHeight="1" x14ac:dyDescent="0.2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2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5.00806</f>
        <v>5.0080600000000004</v>
      </c>
      <c r="F350" s="124">
        <f>440.46158</f>
        <v>440.46158000000003</v>
      </c>
      <c r="G350" s="124">
        <f>D350-F350</f>
        <v>359.53841999999997</v>
      </c>
      <c r="H350" s="124">
        <f>419.17282</f>
        <v>419.17282</v>
      </c>
      <c r="I350" s="67"/>
      <c r="J350" s="244"/>
    </row>
    <row r="351" spans="1:10" ht="14.1" customHeight="1" x14ac:dyDescent="0.25">
      <c r="A351" s="1"/>
      <c r="B351" s="254"/>
      <c r="C351" s="90" t="s">
        <v>94</v>
      </c>
      <c r="D351" s="246">
        <v>3041</v>
      </c>
      <c r="E351" s="124">
        <f>133.63102</f>
        <v>133.63102000000001</v>
      </c>
      <c r="F351" s="124">
        <f>1703.38854</f>
        <v>1703.3885399999999</v>
      </c>
      <c r="G351" s="124">
        <f>D351-F351</f>
        <v>1337.6114600000001</v>
      </c>
      <c r="H351" s="124">
        <f>2191.40344</f>
        <v>2191.40344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25">
      <c r="A353" s="67"/>
      <c r="B353" s="250"/>
      <c r="C353" s="146" t="s">
        <v>95</v>
      </c>
      <c r="D353" s="222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1.6866</f>
        <v>1.6866000000000001</v>
      </c>
      <c r="I353" s="284"/>
      <c r="J353" s="120"/>
    </row>
    <row r="354" spans="1:10" ht="14.1" customHeight="1" x14ac:dyDescent="0.25">
      <c r="A354" s="1"/>
      <c r="B354" s="254"/>
      <c r="C354" s="179" t="s">
        <v>87</v>
      </c>
      <c r="D354" s="6">
        <f>D339</f>
        <v>3851</v>
      </c>
      <c r="E354" s="190">
        <f>SUM(E350:E353)</f>
        <v>138.63908000000001</v>
      </c>
      <c r="F354" s="190">
        <f>SUM(F350:F353)</f>
        <v>2147.5507400000001</v>
      </c>
      <c r="G354" s="190">
        <f>D354-F354</f>
        <v>1703.4492599999999</v>
      </c>
      <c r="H354" s="190">
        <f>H350+H351+H352+H353</f>
        <v>2615.0015999999996</v>
      </c>
      <c r="I354" s="1"/>
      <c r="J354" s="120"/>
    </row>
    <row r="355" spans="1:10" ht="14.1" customHeight="1" x14ac:dyDescent="0.2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115</v>
      </c>
    </row>
    <row r="358" spans="1:10" ht="14.1" customHeight="1" x14ac:dyDescent="0.25">
      <c r="A358" s="1" t="s">
        <v>115</v>
      </c>
    </row>
    <row r="359" spans="1:10" ht="14.1" customHeight="1" x14ac:dyDescent="0.25">
      <c r="A359" s="1" t="s">
        <v>115</v>
      </c>
    </row>
    <row r="360" spans="1:10" ht="14.1" customHeight="1" x14ac:dyDescent="0.25">
      <c r="A360" s="1"/>
      <c r="C360" s="150" t="s">
        <v>115</v>
      </c>
    </row>
    <row r="361" spans="1:10" x14ac:dyDescent="0.25">
      <c r="A361" s="1"/>
      <c r="C361" s="150" t="s">
        <v>115</v>
      </c>
    </row>
    <row r="362" spans="1:10" ht="14.1" customHeight="1" x14ac:dyDescent="0.25">
      <c r="A362" s="1"/>
      <c r="C362" s="150" t="s">
        <v>115</v>
      </c>
    </row>
    <row r="363" spans="1:10" ht="14.1" customHeight="1" x14ac:dyDescent="0.25">
      <c r="A363" s="1"/>
      <c r="C363" s="150" t="s">
        <v>115</v>
      </c>
    </row>
    <row r="364" spans="1:10" ht="30" customHeight="1" x14ac:dyDescent="0.3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137</v>
      </c>
      <c r="D373" s="178"/>
      <c r="E373" s="178"/>
      <c r="F373" s="178"/>
      <c r="G373" s="1"/>
      <c r="H373" s="178"/>
      <c r="I373" s="178"/>
      <c r="J373" s="244"/>
    </row>
    <row r="374" spans="1:10" ht="13.35" customHeight="1" x14ac:dyDescent="0.25">
      <c r="B374" s="72"/>
      <c r="C374" s="212" t="s">
        <v>138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2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25">
      <c r="B379" s="72"/>
      <c r="C379" s="223" t="s">
        <v>16</v>
      </c>
      <c r="D379" s="232" t="s">
        <v>17</v>
      </c>
      <c r="E379" s="68" t="s">
        <v>103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" customHeight="1" x14ac:dyDescent="0.2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499.51732999999996</v>
      </c>
      <c r="G380" s="253">
        <f t="shared" si="17"/>
        <v>10297.995999999999</v>
      </c>
      <c r="H380" s="253">
        <f>H384+H383+H382+H381</f>
        <v>12671.004000000001</v>
      </c>
      <c r="I380" s="253">
        <f t="shared" si="17"/>
        <v>9827.425940000001</v>
      </c>
      <c r="J380" s="130"/>
    </row>
    <row r="381" spans="1:10" ht="14.1" customHeight="1" x14ac:dyDescent="0.25">
      <c r="A381" s="218"/>
      <c r="B381" s="72"/>
      <c r="C381" s="255" t="s">
        <v>104</v>
      </c>
      <c r="D381" s="256">
        <v>12051</v>
      </c>
      <c r="E381" s="256">
        <v>13190</v>
      </c>
      <c r="F381" s="257">
        <f>464.29605</f>
        <v>464.29604999999998</v>
      </c>
      <c r="G381" s="257">
        <f>5965.23202</f>
        <v>5965.2320200000004</v>
      </c>
      <c r="H381" s="257">
        <f t="shared" ref="H381:H385" si="18">E381-G381</f>
        <v>7224.7679799999996</v>
      </c>
      <c r="I381" s="257">
        <f>4942.32257</f>
        <v>4942.3225700000003</v>
      </c>
      <c r="J381" s="130"/>
    </row>
    <row r="382" spans="1:10" ht="14.1" customHeight="1" x14ac:dyDescent="0.2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1183.7259</f>
        <v>1183.7258999999999</v>
      </c>
      <c r="H382" s="257">
        <f t="shared" si="18"/>
        <v>2249.2741000000001</v>
      </c>
      <c r="I382" s="257">
        <f>1058.52555</f>
        <v>1058.5255500000001</v>
      </c>
      <c r="J382" s="130"/>
    </row>
    <row r="383" spans="1:10" ht="14.1" customHeight="1" x14ac:dyDescent="0.25">
      <c r="A383" s="218"/>
      <c r="B383" s="72"/>
      <c r="C383" s="260" t="s">
        <v>100</v>
      </c>
      <c r="D383" s="256">
        <v>1454</v>
      </c>
      <c r="E383" s="256">
        <v>1483</v>
      </c>
      <c r="F383" s="257">
        <f>30.15108</f>
        <v>30.15108</v>
      </c>
      <c r="G383" s="257">
        <f>1497.32962</f>
        <v>1497.32962</v>
      </c>
      <c r="H383" s="257">
        <f t="shared" si="18"/>
        <v>-14.329619999999977</v>
      </c>
      <c r="I383" s="257">
        <f>1563.48932</f>
        <v>1563.4893199999999</v>
      </c>
      <c r="J383" s="130"/>
    </row>
    <row r="384" spans="1:10" ht="14.1" customHeight="1" x14ac:dyDescent="0.25">
      <c r="A384" s="218"/>
      <c r="B384" s="72"/>
      <c r="C384" s="262" t="s">
        <v>105</v>
      </c>
      <c r="D384" s="263">
        <v>4867</v>
      </c>
      <c r="E384" s="263">
        <v>4863</v>
      </c>
      <c r="F384" s="257">
        <f>5.0702</f>
        <v>5.0701999999999998</v>
      </c>
      <c r="G384" s="257">
        <f>1651.70846</f>
        <v>1651.7084600000001</v>
      </c>
      <c r="H384" s="257">
        <f t="shared" si="18"/>
        <v>3211.2915400000002</v>
      </c>
      <c r="I384" s="257">
        <f>2263.0885</f>
        <v>2263.0884999999998</v>
      </c>
      <c r="J384" s="130"/>
    </row>
    <row r="385" spans="1:10" ht="14.1" customHeight="1" x14ac:dyDescent="0.25">
      <c r="A385" s="218"/>
      <c r="B385" s="72"/>
      <c r="C385" s="265" t="s">
        <v>59</v>
      </c>
      <c r="D385" s="266">
        <v>5500</v>
      </c>
      <c r="E385" s="266">
        <v>5500</v>
      </c>
      <c r="F385" s="268">
        <f>0.564</f>
        <v>0.56399999999999995</v>
      </c>
      <c r="G385" s="268">
        <f>2134.74378</f>
        <v>2134.7437799999998</v>
      </c>
      <c r="H385" s="268">
        <f t="shared" si="18"/>
        <v>3365.2562200000002</v>
      </c>
      <c r="I385" s="268">
        <f>5102.77628</f>
        <v>5102.77628</v>
      </c>
      <c r="J385" s="130"/>
    </row>
    <row r="386" spans="1:10" ht="14.1" customHeight="1" x14ac:dyDescent="0.2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50.476870000000005</v>
      </c>
      <c r="G386" s="269">
        <f>G388+G387</f>
        <v>2131.7235999999998</v>
      </c>
      <c r="H386" s="269">
        <f>E386-G386</f>
        <v>5868.2764000000006</v>
      </c>
      <c r="I386" s="269">
        <f>I388+I387</f>
        <v>2868.4437800000001</v>
      </c>
      <c r="J386" s="130"/>
    </row>
    <row r="387" spans="1:10" ht="14.1" customHeight="1" x14ac:dyDescent="0.25">
      <c r="A387" s="218"/>
      <c r="B387" s="72"/>
      <c r="C387" s="260" t="s">
        <v>53</v>
      </c>
      <c r="D387" s="271"/>
      <c r="E387" s="256"/>
      <c r="F387" s="257">
        <f>14.71905</f>
        <v>14.719049999999999</v>
      </c>
      <c r="G387" s="257">
        <f>622.79338</f>
        <v>622.79337999999996</v>
      </c>
      <c r="H387" s="257"/>
      <c r="I387" s="257">
        <f>840.24008</f>
        <v>840.24008000000003</v>
      </c>
      <c r="J387" s="130"/>
    </row>
    <row r="388" spans="1:10" ht="14.1" customHeight="1" x14ac:dyDescent="0.25">
      <c r="A388" s="218"/>
      <c r="B388" s="72"/>
      <c r="C388" s="273" t="s">
        <v>106</v>
      </c>
      <c r="D388" s="274"/>
      <c r="E388" s="277"/>
      <c r="F388" s="278">
        <f>35.75782</f>
        <v>35.757820000000002</v>
      </c>
      <c r="G388" s="278">
        <f>1508.93022</f>
        <v>1508.93022</v>
      </c>
      <c r="H388" s="278"/>
      <c r="I388" s="278">
        <f>2028.2037</f>
        <v>2028.2037</v>
      </c>
      <c r="J388" s="130"/>
    </row>
    <row r="389" spans="1:10" ht="14.1" customHeight="1" x14ac:dyDescent="0.2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0.1164</f>
        <v>0.1164</v>
      </c>
      <c r="H389" s="268">
        <f>E389-G389</f>
        <v>12.883599999999999</v>
      </c>
      <c r="I389" s="268">
        <f>0.0735</f>
        <v>7.3499999999999996E-2</v>
      </c>
      <c r="J389" s="130"/>
    </row>
    <row r="390" spans="1:10" ht="14.1" customHeight="1" x14ac:dyDescent="0.25">
      <c r="A390" s="218"/>
      <c r="B390" s="72"/>
      <c r="C390" s="279" t="s">
        <v>107</v>
      </c>
      <c r="D390" s="282"/>
      <c r="E390" s="283"/>
      <c r="F390" s="268">
        <f>0.91592</f>
        <v>0.91591999999999996</v>
      </c>
      <c r="G390" s="268">
        <f>102.56064</f>
        <v>102.56064000000001</v>
      </c>
      <c r="H390" s="268">
        <f>E390-G390</f>
        <v>-102.56064000000001</v>
      </c>
      <c r="I390" s="268">
        <f>85.54822</f>
        <v>85.548220000000001</v>
      </c>
      <c r="J390" s="130"/>
    </row>
    <row r="391" spans="1:10" ht="19.5" customHeight="1" x14ac:dyDescent="0.2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551.47411999999997</v>
      </c>
      <c r="G391" s="287">
        <f t="shared" si="19"/>
        <v>14667.14042</v>
      </c>
      <c r="H391" s="287">
        <f>H380+H385+H386+H389+H390</f>
        <v>21814.85958</v>
      </c>
      <c r="I391" s="287">
        <f t="shared" si="19"/>
        <v>17884.26772</v>
      </c>
      <c r="J391" s="130"/>
    </row>
    <row r="392" spans="1:10" ht="14.1" customHeight="1" x14ac:dyDescent="0.25">
      <c r="A392" s="218"/>
      <c r="B392" s="72"/>
      <c r="C392" s="161" t="s">
        <v>108</v>
      </c>
      <c r="D392" s="289"/>
      <c r="E392" s="289"/>
      <c r="F392" s="4"/>
      <c r="G392" s="4"/>
      <c r="H392" s="5"/>
      <c r="I392" s="5"/>
      <c r="J392" s="130"/>
    </row>
    <row r="393" spans="1:10" ht="14.1" customHeight="1" x14ac:dyDescent="0.25">
      <c r="A393" s="218"/>
      <c r="B393" s="72"/>
      <c r="C393" s="101" t="s">
        <v>136</v>
      </c>
      <c r="D393" s="289"/>
      <c r="E393" s="289"/>
      <c r="F393" s="4"/>
      <c r="G393" s="4"/>
      <c r="H393" s="7"/>
      <c r="I393" s="5"/>
      <c r="J393" s="130"/>
    </row>
    <row r="394" spans="1:10" ht="14.1" customHeight="1" x14ac:dyDescent="0.25">
      <c r="A394" s="218"/>
      <c r="B394" s="72"/>
      <c r="C394" s="101" t="s">
        <v>135</v>
      </c>
      <c r="D394" s="289"/>
      <c r="E394" s="289"/>
      <c r="F394" s="4"/>
      <c r="G394" s="4"/>
      <c r="H394" s="5"/>
      <c r="I394" s="7"/>
      <c r="J394" s="130"/>
    </row>
    <row r="395" spans="1:10" ht="15.75" customHeight="1" x14ac:dyDescent="0.2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8"/>
      <c r="B396" s="150" t="s">
        <v>115</v>
      </c>
      <c r="C396" s="14"/>
      <c r="D396" s="1"/>
      <c r="E396" s="1"/>
      <c r="F396" s="1"/>
      <c r="G396" s="1"/>
      <c r="H396" s="1"/>
      <c r="I396" s="1"/>
      <c r="J396" s="150"/>
    </row>
    <row r="397" spans="1:10" ht="231.75" customHeight="1" x14ac:dyDescent="0.25">
      <c r="A397" s="218"/>
      <c r="B397" s="150" t="s">
        <v>115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8"/>
      <c r="C398" s="150" t="s">
        <v>115</v>
      </c>
      <c r="D398" s="156"/>
    </row>
    <row r="399" spans="1:10" ht="14.1" customHeight="1" x14ac:dyDescent="0.2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" customHeight="1" x14ac:dyDescent="0.25">
      <c r="A400" s="218"/>
      <c r="B400" s="72"/>
      <c r="C400" s="219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" customHeight="1" x14ac:dyDescent="0.2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8"/>
      <c r="B407" s="72"/>
      <c r="C407" s="308" t="s">
        <v>142</v>
      </c>
      <c r="D407" s="308"/>
      <c r="E407" s="308"/>
      <c r="F407" s="308"/>
      <c r="G407" s="214"/>
      <c r="H407" s="214"/>
      <c r="I407" s="150"/>
      <c r="J407" s="130"/>
    </row>
    <row r="408" spans="1:10" ht="14.1" customHeight="1" x14ac:dyDescent="0.2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" customHeight="1" x14ac:dyDescent="0.2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25">
      <c r="A412" s="218"/>
      <c r="B412" s="198"/>
      <c r="C412" s="20" t="s">
        <v>110</v>
      </c>
      <c r="D412" s="22" t="s">
        <v>111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" customHeight="1" x14ac:dyDescent="0.25">
      <c r="A413" s="218"/>
      <c r="B413" s="72"/>
      <c r="C413" s="265" t="s">
        <v>112</v>
      </c>
      <c r="D413" s="204">
        <v>894</v>
      </c>
      <c r="E413" s="26">
        <f>SUM(E414:E415)</f>
        <v>59.668499999999995</v>
      </c>
      <c r="F413" s="26">
        <f>SUM(F414:F415)</f>
        <v>543.46528000000001</v>
      </c>
      <c r="G413" s="85">
        <f>D413-F413</f>
        <v>350.53471999999999</v>
      </c>
      <c r="H413" s="26">
        <f>SUM(H414:H415)</f>
        <v>488.65709000000004</v>
      </c>
      <c r="I413" s="27"/>
      <c r="J413" s="130"/>
    </row>
    <row r="414" spans="1:10" ht="14.1" customHeight="1" x14ac:dyDescent="0.25">
      <c r="A414" s="218"/>
      <c r="B414" s="72"/>
      <c r="C414" s="29" t="s">
        <v>8</v>
      </c>
      <c r="E414" s="205">
        <f>47.839</f>
        <v>47.838999999999999</v>
      </c>
      <c r="F414" s="205">
        <f>433.18358</f>
        <v>433.18358000000001</v>
      </c>
      <c r="G414" s="206"/>
      <c r="H414" s="205">
        <f>381.7986</f>
        <v>381.79860000000002</v>
      </c>
      <c r="I414" s="150"/>
      <c r="J414" s="130"/>
    </row>
    <row r="415" spans="1:10" ht="14.1" customHeight="1" x14ac:dyDescent="0.25">
      <c r="A415" s="218"/>
      <c r="B415" s="72"/>
      <c r="C415" s="29" t="s">
        <v>11</v>
      </c>
      <c r="D415" s="207"/>
      <c r="E415" s="208">
        <f>11.8295</f>
        <v>11.829499999999999</v>
      </c>
      <c r="F415" s="208">
        <f>110.2817</f>
        <v>110.2817</v>
      </c>
      <c r="G415" s="209"/>
      <c r="H415" s="208">
        <f>106.85849</f>
        <v>106.85849</v>
      </c>
      <c r="I415" s="150"/>
      <c r="J415" s="130"/>
    </row>
    <row r="416" spans="1:10" ht="14.1" customHeight="1" x14ac:dyDescent="0.25">
      <c r="A416" s="218"/>
      <c r="B416" s="72"/>
      <c r="C416" s="265" t="s">
        <v>113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" customHeight="1" x14ac:dyDescent="0.2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8"/>
      <c r="B419" s="72"/>
      <c r="C419" s="265" t="s">
        <v>114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" customHeight="1" x14ac:dyDescent="0.2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59.668499999999995</v>
      </c>
      <c r="F423" s="40">
        <f>F413+F416+F419+F422</f>
        <v>543.46528000000001</v>
      </c>
      <c r="G423" s="41">
        <f>D423-F423</f>
        <v>2137.5347200000001</v>
      </c>
      <c r="H423" s="40">
        <f>H413+H416+H419+H422</f>
        <v>488.65709000000004</v>
      </c>
      <c r="I423" s="27"/>
      <c r="J423" s="130"/>
    </row>
    <row r="424" spans="1:10" ht="42" customHeight="1" x14ac:dyDescent="0.25">
      <c r="A424" s="218"/>
      <c r="B424" s="72"/>
      <c r="C424" s="301" t="s">
        <v>119</v>
      </c>
      <c r="D424" s="301"/>
      <c r="E424" s="301"/>
      <c r="F424" s="301"/>
      <c r="G424" s="301"/>
      <c r="H424" s="301"/>
      <c r="I424" s="301"/>
      <c r="J424" s="302"/>
    </row>
    <row r="425" spans="1:10" ht="14.1" customHeight="1" x14ac:dyDescent="0.2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424:J424"/>
    <mergeCell ref="C52:H52"/>
    <mergeCell ref="D55:D59"/>
    <mergeCell ref="G55:G59"/>
    <mergeCell ref="C81:D81"/>
    <mergeCell ref="E81:F81"/>
    <mergeCell ref="G81:H81"/>
    <mergeCell ref="C407:F407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33&amp;R19.08.2024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2024-08-21T06:37:38Z</dcterms:modified>
</cp:coreProperties>
</file>