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9200" windowHeight="7050" tabRatio="374"/>
  </bookViews>
  <sheets>
    <sheet name="UKE_40_2021" sheetId="1" r:id="rId1"/>
  </sheets>
  <definedNames>
    <definedName name="Z_14D440E4_F18A_4F78_9989_38C1B133222D_.wvu.Cols" localSheetId="0" hidden="1">UKE_40_2021!#REF!</definedName>
    <definedName name="Z_14D440E4_F18A_4F78_9989_38C1B133222D_.wvu.PrintArea" localSheetId="0" hidden="1">UKE_40_2021!$B$1:$J$344</definedName>
    <definedName name="Z_14D440E4_F18A_4F78_9989_38C1B133222D_.wvu.Rows" localSheetId="0" hidden="1">UKE_40_2021!#REF!,UKE_40_2021!#REF!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H31" i="1" s="1"/>
  <c r="G30" i="1"/>
  <c r="H30" i="1" s="1"/>
  <c r="G29" i="1"/>
  <c r="H29" i="1" s="1"/>
  <c r="G28" i="1"/>
  <c r="H28" i="1" s="1"/>
  <c r="F31" i="1"/>
  <c r="F30" i="1"/>
  <c r="F29" i="1"/>
  <c r="F28" i="1"/>
  <c r="I35" i="1"/>
  <c r="I31" i="1"/>
  <c r="I30" i="1"/>
  <c r="I29" i="1"/>
  <c r="I28" i="1"/>
  <c r="I23" i="1" l="1"/>
  <c r="H53" i="1"/>
  <c r="D108" i="1" l="1"/>
  <c r="H114" i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G39" i="1"/>
  <c r="F39" i="1"/>
  <c r="F34" i="1"/>
  <c r="I39" i="1" l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H106" i="1"/>
  <c r="H107" i="1"/>
  <c r="D109" i="1"/>
  <c r="E109" i="1"/>
  <c r="E108" i="1" s="1"/>
  <c r="E120" i="1" s="1"/>
  <c r="F109" i="1"/>
  <c r="F108" i="1" s="1"/>
  <c r="G109" i="1"/>
  <c r="G108" i="1" s="1"/>
  <c r="I109" i="1"/>
  <c r="I108" i="1" s="1"/>
  <c r="I120" i="1" s="1"/>
  <c r="H110" i="1"/>
  <c r="H111" i="1"/>
  <c r="H112" i="1"/>
  <c r="H113" i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I162" i="1" s="1"/>
  <c r="H144" i="1"/>
  <c r="H145" i="1"/>
  <c r="D147" i="1"/>
  <c r="E147" i="1"/>
  <c r="E146" i="1" s="1"/>
  <c r="E162" i="1" s="1"/>
  <c r="F147" i="1"/>
  <c r="F146" i="1" s="1"/>
  <c r="G147" i="1"/>
  <c r="G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F162" i="1" l="1"/>
  <c r="G162" i="1"/>
  <c r="D146" i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<sst xmlns="http://schemas.openxmlformats.org/spreadsheetml/2006/main" count="265" uniqueCount="143">
  <si>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</si>
  <si>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</si>
  <si>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</si>
  <si>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</si>
  <si>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</si>
  <si>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</si>
  <si>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</si>
  <si>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</si>
  <si>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</si>
  <si>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</si>
  <si>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</si>
  <si>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</si>
  <si>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</si>
  <si>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</si>
  <si>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</si>
  <si>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</si>
  <si>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</si>
  <si>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</si>
  <si>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</si>
  <si>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</si>
  <si>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</si>
  <si>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</si>
  <si>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</si>
  <si>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</si>
  <si>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</si>
  <si>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</si>
  <si>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</si>
  <si>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</si>
  <si>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</si>
  <si>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</si>
  <si>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</si>
  <si>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</si>
  <si>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</si>
  <si>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</si>
  <si>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</si>
  <si>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</si>
  <si>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</si>
  <si>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</si>
  <si>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</si>
  <si>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</si>
  <si>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</si>
  <si>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</si>
  <si>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</si>
  <si>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</si>
  <si>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</si>
  <si>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</si>
  <si>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</si>
  <si>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</si>
  <si>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</si>
  <si>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</si>
  <si>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</si>
  <si>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</si>
  <si>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</si>
  <si>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</si>
  <si>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</si>
  <si>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</si>
  <si>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</si>
  <si>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</si>
  <si>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</si>
  <si>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</si>
  <si>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</si>
  <si>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</si>
  <si>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</si>
  <si>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</si>
  <si>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</si>
  <si>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</si>
  <si>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</si>
  <si>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</si>
  <si>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</si>
  <si>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</si>
  <si>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</si>
  <si>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</si>
  <si>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</si>
  <si>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</si>
  <si>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</si>
  <si>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</si>
  <si>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</si>
  <si>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</si>
  <si>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</si>
  <si>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</si>
  <si>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</si>
  <si>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</si>
  <si>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</si>
  <si>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</si>
  <si>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</si>
  <si>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</si>
  <si>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</si>
  <si>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</si>
  <si>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</si>
  <si>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</si>
  <si>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</si>
  <si>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</si>
  <si>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</si>
  <si>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</si>
  <si>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</si>
  <si>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</si>
  <si>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</si>
  <si>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</si>
  <si>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</si>
  <si>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</si>
  <si>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</si>
  <si>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</si>
  <si>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</si>
  <si>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</si>
  <si>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</si>
  <si>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</si>
  <si>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</si>
  <si>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</si>
  <si>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</si>
  <si>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</si>
  <si>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</si>
  <si>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</si>
  <si>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</si>
  <si>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</si>
  <si>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</si>
  <si>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</si>
  <si>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</si>
  <si>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</si>
  <si>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</si>
  <si>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</si>
  <si>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</si>
  <si>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</si>
  <si>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</si>
  <si>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</si>
  <si>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</si>
  <si>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</si>
  <si>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</si>
  <si>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</si>
  <si>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</si>
  <si>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</si>
  <si>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</si>
  <si>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</si>
  <si>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</si>
  <si>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</si>
  <si>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</si>
  <si>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51 tonn, men det legges til grunn at hele avsetningen tas</t>
    </r>
  </si>
  <si>
    <t>FANGST UKE 40</t>
  </si>
  <si>
    <t>FANGST T.O.M UKE 40</t>
  </si>
  <si>
    <t>RESTKVOTER UKE 40</t>
  </si>
  <si>
    <t>FANGST T.O.M. UKE 40 2020</t>
  </si>
  <si>
    <r>
      <t>3</t>
    </r>
    <r>
      <rPr>
        <sz val="9"/>
        <color indexed="8"/>
        <rFont val="Calibri"/>
        <family val="2"/>
      </rPr>
      <t xml:space="preserve"> Det er fisket 5 897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</si>
  <si>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554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</si>
  <si>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945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</si>
</sst>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40" zoomScale="85" zoomScaleNormal="110" zoomScaleSheetLayoutView="100" zoomScalePageLayoutView="85" workbookViewId="0">
      <selection activeCell="G40" sqref="G40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413" t="s">
        <v>133</v>
      </c>
      <c r="C2" s="414"/>
      <c r="D2" s="414"/>
      <c r="E2" s="414"/>
      <c r="F2" s="414"/>
      <c r="G2" s="414"/>
      <c r="H2" s="414"/>
      <c r="I2" s="414"/>
      <c r="J2" s="415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16"/>
      <c r="C9" s="417"/>
      <c r="D9" s="417"/>
      <c r="E9" s="417"/>
      <c r="F9" s="417"/>
      <c r="G9" s="417"/>
      <c r="H9" s="417"/>
      <c r="I9" s="417"/>
      <c r="J9" s="418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408" t="s">
        <v>1</v>
      </c>
      <c r="D11" s="409"/>
      <c r="E11" s="408" t="s">
        <v>18</v>
      </c>
      <c r="F11" s="409"/>
      <c r="G11" s="408" t="s">
        <v>19</v>
      </c>
      <c r="H11" s="409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4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35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35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H23" si="0">D25+D24</f>
        <v>129649</v>
      </c>
      <c r="E23" s="181">
        <f t="shared" si="0"/>
        <v>130454</v>
      </c>
      <c r="F23" s="172">
        <f t="shared" si="0"/>
        <v>1149.0498</v>
      </c>
      <c r="G23" s="172">
        <f t="shared" si="0"/>
        <v>71177.360089999987</v>
      </c>
      <c r="H23" s="172">
        <f t="shared" si="0"/>
        <v>59276.639910000005</v>
      </c>
      <c r="I23" s="172">
        <f>I25+I24</f>
        <v>68236.744330000001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129722</v>
      </c>
      <c r="F24" s="173">
        <v>1147.4508000000001</v>
      </c>
      <c r="G24" s="173">
        <v>70728.450889999993</v>
      </c>
      <c r="H24" s="173">
        <f>E24-G24</f>
        <v>58993.549110000007</v>
      </c>
      <c r="I24" s="173">
        <v>67745.738440000001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>
        <v>1.599</v>
      </c>
      <c r="G25" s="173">
        <v>448.9092</v>
      </c>
      <c r="H25" s="173">
        <f>E25-G25</f>
        <v>283.0908</v>
      </c>
      <c r="I25" s="173">
        <v>491.00589000000002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H26" si="1">D34+D33+D27</f>
        <v>280430</v>
      </c>
      <c r="E26" s="181">
        <f t="shared" si="1"/>
        <v>281832</v>
      </c>
      <c r="F26" s="172">
        <f t="shared" si="1"/>
        <v>643.60023000000001</v>
      </c>
      <c r="G26" s="172">
        <f t="shared" si="1"/>
        <v>222325.87732100004</v>
      </c>
      <c r="H26" s="172">
        <f t="shared" si="1"/>
        <v>59506.122678999993</v>
      </c>
      <c r="I26" s="172">
        <f>I34+I33+I27</f>
        <v>195359.13344000001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H27" si="2">D28+D29+D30+D31+D32</f>
        <v>218782</v>
      </c>
      <c r="E27" s="184">
        <f t="shared" si="2"/>
        <v>220475</v>
      </c>
      <c r="F27" s="175">
        <f t="shared" si="2"/>
        <v>516.98484000000008</v>
      </c>
      <c r="G27" s="175">
        <f t="shared" si="2"/>
        <v>183393.87822100002</v>
      </c>
      <c r="H27" s="175">
        <f t="shared" si="2"/>
        <v>37081.121778999994</v>
      </c>
      <c r="I27" s="175">
        <f>I28+I29+I30+I31+I32</f>
        <v>154814.49062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52698</v>
      </c>
      <c r="F28" s="176">
        <f>88.32677-E55</f>
        <v>34.326769999999996</v>
      </c>
      <c r="G28" s="176">
        <f>44305.30715-F55</f>
        <v>42748.307150000001</v>
      </c>
      <c r="H28" s="176">
        <f t="shared" ref="H28:H34" si="3">E28-G28</f>
        <v>9949.6928499999995</v>
      </c>
      <c r="I28" s="176">
        <f>39847.62832-H55</f>
        <v>37706.628320000003</v>
      </c>
      <c r="J28" s="392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58236</v>
      </c>
      <c r="F29" s="176">
        <f>271.9522-E56</f>
        <v>115.9522</v>
      </c>
      <c r="G29" s="176">
        <f>53093.91178-F56</f>
        <v>50432.911780000002</v>
      </c>
      <c r="H29" s="176">
        <f t="shared" si="3"/>
        <v>7803.0882199999978</v>
      </c>
      <c r="I29" s="176">
        <f>41603.90742-H56</f>
        <v>38790.907420000003</v>
      </c>
      <c r="J29" s="392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54234</v>
      </c>
      <c r="F30" s="176">
        <f>88.43011-E57</f>
        <v>36.430109999999999</v>
      </c>
      <c r="G30" s="176">
        <f>47639.801179-F57</f>
        <v>44016.801179000002</v>
      </c>
      <c r="H30" s="176">
        <f t="shared" si="3"/>
        <v>10217.198820999998</v>
      </c>
      <c r="I30" s="176">
        <f>44019.97881-H57</f>
        <v>40304.978810000001</v>
      </c>
      <c r="J30" s="392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40037</v>
      </c>
      <c r="F31" s="176">
        <f>68.27576-E58</f>
        <v>42.275760000000005</v>
      </c>
      <c r="G31" s="176">
        <f>38354.858112-F58</f>
        <v>36590.858112000002</v>
      </c>
      <c r="H31" s="176">
        <f t="shared" si="3"/>
        <v>3446.1418879999983</v>
      </c>
      <c r="I31" s="176">
        <f>29342.97607-H58</f>
        <v>27374.976070000001</v>
      </c>
      <c r="J31" s="392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288</v>
      </c>
      <c r="G32" s="176">
        <f>F54</f>
        <v>9605</v>
      </c>
      <c r="H32" s="176">
        <f t="shared" si="3"/>
        <v>5665</v>
      </c>
      <c r="I32" s="176">
        <f>H54</f>
        <v>10637</v>
      </c>
      <c r="J32" s="392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35000</v>
      </c>
      <c r="F33" s="175">
        <v>95.873999999999995</v>
      </c>
      <c r="G33" s="175">
        <v>20629.730070000001</v>
      </c>
      <c r="H33" s="175">
        <f t="shared" si="3"/>
        <v>14370.269929999999</v>
      </c>
      <c r="I33" s="175">
        <v>19692.433809999999</v>
      </c>
      <c r="J33" s="392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30.741390000000003</v>
      </c>
      <c r="G34" s="175">
        <f>G35+G36</f>
        <v>18302.269029999999</v>
      </c>
      <c r="H34" s="175">
        <f t="shared" si="3"/>
        <v>8054.7309700000005</v>
      </c>
      <c r="I34" s="175">
        <f>I35+I36</f>
        <v>20852.209009999999</v>
      </c>
      <c r="J34" s="392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1">
        <v>24487</v>
      </c>
      <c r="F35" s="176">
        <f>38.74139-E59-E60</f>
        <v>29.741390000000003</v>
      </c>
      <c r="G35" s="176">
        <f>21393.26903-F59-F60</f>
        <v>17173.269029999999</v>
      </c>
      <c r="H35" s="176">
        <f t="shared" ref="H35:H42" si="4">E35-G35</f>
        <v>7313.7309700000005</v>
      </c>
      <c r="I35" s="176">
        <f>23947.20901-H59-H60</f>
        <v>19464.209009999999</v>
      </c>
      <c r="J35" s="392"/>
    </row>
    <row r="36" spans="1:13" ht="14.15" customHeight="1" thickBot="1" x14ac:dyDescent="0.4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1</v>
      </c>
      <c r="G36" s="271">
        <f>F59</f>
        <v>1129</v>
      </c>
      <c r="H36" s="271">
        <f t="shared" si="4"/>
        <v>741</v>
      </c>
      <c r="I36" s="271">
        <f>H59</f>
        <v>1388</v>
      </c>
      <c r="J36" s="392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1296.6727490000001</v>
      </c>
      <c r="H37" s="179">
        <f t="shared" si="4"/>
        <v>1203.3272509999999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8">
        <v>969</v>
      </c>
      <c r="F38" s="391">
        <v>4.2</v>
      </c>
      <c r="G38" s="391">
        <v>494.48570000000001</v>
      </c>
      <c r="H38" s="388">
        <f t="shared" si="4"/>
        <v>474.51429999999999</v>
      </c>
      <c r="I38" s="391">
        <v>475.84669000000002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8</v>
      </c>
      <c r="G39" s="391">
        <f>F60</f>
        <v>3091</v>
      </c>
      <c r="H39" s="388">
        <f t="shared" si="4"/>
        <v>785</v>
      </c>
      <c r="I39" s="391">
        <f>H60</f>
        <v>3095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1">
        <v>2.13916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1">
        <v>88.278000000000006</v>
      </c>
      <c r="G41" s="391">
        <v>2274.3571999999999</v>
      </c>
      <c r="H41" s="388">
        <f t="shared" si="4"/>
        <v>3975.6428000000001</v>
      </c>
      <c r="I41" s="391"/>
      <c r="J41" s="61"/>
      <c r="M41" s="378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1">
        <v>5.0850000000082218E-2</v>
      </c>
      <c r="G42" s="391">
        <v>89.345379999896977</v>
      </c>
      <c r="H42" s="388">
        <f t="shared" si="4"/>
        <v>-89.345379999896977</v>
      </c>
      <c r="I42" s="391">
        <v>127.64926999999443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1">
        <f>F23+F26+F37+F38+F39+F40+F41+F42</f>
        <v>1895.3180400000001</v>
      </c>
      <c r="G43" s="381">
        <f>G23+G26+G37+G38+G39+G40+G41+G42</f>
        <v>307749.09843999997</v>
      </c>
      <c r="H43" s="188">
        <f t="shared" si="5"/>
        <v>125131.90156000009</v>
      </c>
      <c r="I43" s="381">
        <f>I23+I26+I37+I38+I39+I40+I41+I42</f>
        <v>275432.56637999997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35">
      <c r="A51" s="8"/>
      <c r="B51" s="55"/>
      <c r="C51" s="419" t="s">
        <v>126</v>
      </c>
      <c r="D51" s="419"/>
      <c r="E51" s="419"/>
      <c r="F51" s="419"/>
      <c r="G51" s="419"/>
      <c r="H51" s="419"/>
      <c r="I51" s="279"/>
      <c r="J51" s="281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2" t="s">
        <v>17</v>
      </c>
      <c r="D53" s="167" t="s">
        <v>124</v>
      </c>
      <c r="E53" s="167" t="str">
        <f>F22</f>
        <v>FANGST UKE 40</v>
      </c>
      <c r="F53" s="167" t="str">
        <f>G22</f>
        <v>FANGST T.O.M UKE 40</v>
      </c>
      <c r="G53" s="167" t="str">
        <f>H22</f>
        <v>RESTKVOTER UKE 40</v>
      </c>
      <c r="H53" s="167" t="str">
        <f>I22</f>
        <v>FANGST T.O.M. UKE 40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1">
        <v>15270</v>
      </c>
      <c r="E54" s="172">
        <f>E58+E57+E56+E55</f>
        <v>288</v>
      </c>
      <c r="F54" s="172">
        <f>F58+F57+F56+F55</f>
        <v>9605</v>
      </c>
      <c r="G54" s="401">
        <f>D54-F54</f>
        <v>5665</v>
      </c>
      <c r="H54" s="172">
        <f>H58+H57+H56+H55</f>
        <v>10637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2"/>
      <c r="E55" s="176">
        <v>54</v>
      </c>
      <c r="F55" s="176">
        <v>1557</v>
      </c>
      <c r="G55" s="402"/>
      <c r="H55" s="176">
        <v>2141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2"/>
      <c r="E56" s="176">
        <v>156</v>
      </c>
      <c r="F56" s="176">
        <v>2661</v>
      </c>
      <c r="G56" s="402"/>
      <c r="H56" s="176">
        <v>2813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2"/>
      <c r="E57" s="176">
        <v>52</v>
      </c>
      <c r="F57" s="176">
        <v>3623</v>
      </c>
      <c r="G57" s="402"/>
      <c r="H57" s="176">
        <v>3715</v>
      </c>
      <c r="I57" s="64"/>
      <c r="J57" s="61"/>
    </row>
    <row r="58" spans="1:10" ht="14.15" customHeight="1" thickBot="1" x14ac:dyDescent="0.4">
      <c r="A58" s="8"/>
      <c r="B58" s="55"/>
      <c r="C58" s="280" t="s">
        <v>69</v>
      </c>
      <c r="D58" s="403"/>
      <c r="E58" s="177">
        <v>26</v>
      </c>
      <c r="F58" s="177">
        <v>1764</v>
      </c>
      <c r="G58" s="403"/>
      <c r="H58" s="177">
        <v>1968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3">
        <v>1870</v>
      </c>
      <c r="E59" s="390">
        <v>1</v>
      </c>
      <c r="F59" s="390">
        <v>1129</v>
      </c>
      <c r="G59" s="283">
        <f>D59-F59</f>
        <v>741</v>
      </c>
      <c r="H59" s="390">
        <v>1388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8</v>
      </c>
      <c r="F60" s="179">
        <v>3091</v>
      </c>
      <c r="G60" s="179">
        <f>D60-F60</f>
        <v>742</v>
      </c>
      <c r="H60" s="179">
        <v>3095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8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408" t="s">
        <v>1</v>
      </c>
      <c r="D94" s="409"/>
      <c r="E94" s="408" t="s">
        <v>18</v>
      </c>
      <c r="F94" s="410"/>
      <c r="G94" s="408" t="s">
        <v>19</v>
      </c>
      <c r="H94" s="409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5" customHeight="1" thickBot="1" x14ac:dyDescent="0.4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35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45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40</v>
      </c>
      <c r="G104" s="108" t="str">
        <f>G22</f>
        <v>FANGST T.O.M UKE 40</v>
      </c>
      <c r="H104" s="108" t="str">
        <f>H22</f>
        <v>RESTKVOTER UKE 40</v>
      </c>
      <c r="I104" s="108" t="str">
        <f>I22</f>
        <v>FANGST T.O.M. UKE 40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191.24235999999999</v>
      </c>
      <c r="G105" s="172">
        <f t="shared" si="6"/>
        <v>44034.128620000003</v>
      </c>
      <c r="H105" s="172">
        <f t="shared" si="6"/>
        <v>3411.8713799999987</v>
      </c>
      <c r="I105" s="172">
        <f t="shared" si="6"/>
        <v>27669.219230000002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46621</v>
      </c>
      <c r="F106" s="173">
        <v>190.96235999999999</v>
      </c>
      <c r="G106" s="173">
        <v>43303.212800000001</v>
      </c>
      <c r="H106" s="173">
        <f>E106-G106</f>
        <v>3317.7871999999988</v>
      </c>
      <c r="I106" s="173">
        <v>27423.131430000001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>
        <v>0.28000000000000003</v>
      </c>
      <c r="G107" s="174">
        <v>730.91582000000005</v>
      </c>
      <c r="H107" s="174">
        <f>E107-G107</f>
        <v>94.084179999999947</v>
      </c>
      <c r="I107" s="174">
        <v>246.08779999999999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>D109+D114+D115</f>
        <v>71087</v>
      </c>
      <c r="E108" s="181">
        <f t="shared" ref="E108:H108" si="7">E109+E114+E115</f>
        <v>76252</v>
      </c>
      <c r="F108" s="172">
        <f t="shared" si="7"/>
        <v>432.06842</v>
      </c>
      <c r="G108" s="172">
        <f t="shared" si="7"/>
        <v>38576.677130000004</v>
      </c>
      <c r="H108" s="172">
        <f t="shared" si="7"/>
        <v>37675.322869999996</v>
      </c>
      <c r="I108" s="172">
        <f>I109+I114+I115</f>
        <v>42689.529649999997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371.28386999999998</v>
      </c>
      <c r="G109" s="175">
        <f t="shared" si="8"/>
        <v>30998.473430000005</v>
      </c>
      <c r="H109" s="175">
        <f t="shared" si="8"/>
        <v>27238.526569999995</v>
      </c>
      <c r="I109" s="175">
        <f t="shared" si="8"/>
        <v>33934.87934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15834</v>
      </c>
      <c r="F110" s="176">
        <v>76.414119999999997</v>
      </c>
      <c r="G110" s="176">
        <v>3935.4825500000002</v>
      </c>
      <c r="H110" s="176">
        <f>E110-G110</f>
        <v>11898.517449999999</v>
      </c>
      <c r="I110" s="176">
        <v>5186.0559599999997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16205</v>
      </c>
      <c r="F111" s="176">
        <v>154.80458999999999</v>
      </c>
      <c r="G111" s="176">
        <v>10054.341560000001</v>
      </c>
      <c r="H111" s="176">
        <f t="shared" ref="H111:H119" si="9">E111-G111</f>
        <v>6150.6584399999992</v>
      </c>
      <c r="I111" s="176">
        <v>9872.8307299999997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16580</v>
      </c>
      <c r="F112" s="176">
        <v>42.162030000000001</v>
      </c>
      <c r="G112" s="176">
        <v>10893.2672</v>
      </c>
      <c r="H112" s="176">
        <f t="shared" si="9"/>
        <v>5686.7327999999998</v>
      </c>
      <c r="I112" s="176">
        <v>10791.67447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9618</v>
      </c>
      <c r="F113" s="176">
        <v>97.903130000000004</v>
      </c>
      <c r="G113" s="176">
        <v>6115.3821200000002</v>
      </c>
      <c r="H113" s="176">
        <f t="shared" si="9"/>
        <v>3502.6178799999998</v>
      </c>
      <c r="I113" s="176">
        <v>8084.3181800000002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11822</v>
      </c>
      <c r="F114" s="175">
        <v>13.79</v>
      </c>
      <c r="G114" s="175">
        <v>6036.6919399999997</v>
      </c>
      <c r="H114" s="175">
        <f>E114-G114</f>
        <v>5785.3080600000003</v>
      </c>
      <c r="I114" s="175">
        <v>7291.7985500000004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6193</v>
      </c>
      <c r="F115" s="198">
        <v>46.994549999999997</v>
      </c>
      <c r="G115" s="198">
        <v>1541.5117600000001</v>
      </c>
      <c r="H115" s="198">
        <f t="shared" si="9"/>
        <v>4651.4882399999997</v>
      </c>
      <c r="I115" s="198">
        <v>1462.85176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80">
        <v>379</v>
      </c>
      <c r="F116" s="391"/>
      <c r="G116" s="391">
        <v>35.20317</v>
      </c>
      <c r="H116" s="388">
        <f t="shared" si="9"/>
        <v>343.79683</v>
      </c>
      <c r="I116" s="391">
        <v>9.7514800000000008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0.41615000000000002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>
        <v>13.5366</v>
      </c>
      <c r="G118" s="179">
        <v>185.30959999999999</v>
      </c>
      <c r="H118" s="179">
        <f t="shared" si="9"/>
        <v>2814.6904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0.52165999999999713</v>
      </c>
      <c r="G119" s="179">
        <v>56.322050000002491</v>
      </c>
      <c r="H119" s="179">
        <f t="shared" si="9"/>
        <v>-56.322050000002491</v>
      </c>
      <c r="I119" s="179">
        <v>160.5195199999871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H120" si="10">D105+D108+D116+D117++D118+D119</f>
        <v>117261</v>
      </c>
      <c r="E120" s="188">
        <f t="shared" si="10"/>
        <v>127377</v>
      </c>
      <c r="F120" s="381">
        <f t="shared" si="10"/>
        <v>637.78519000000006</v>
      </c>
      <c r="G120" s="381">
        <f t="shared" si="10"/>
        <v>83187.640569999989</v>
      </c>
      <c r="H120" s="381">
        <f t="shared" si="10"/>
        <v>44189.35942999999</v>
      </c>
      <c r="I120" s="381">
        <f>I105+I108+I116+I117++I118+I119</f>
        <v>70829.019879999993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4">
      <c r="A131" s="26"/>
      <c r="B131" s="50"/>
      <c r="C131" s="408" t="s">
        <v>1</v>
      </c>
      <c r="D131" s="409"/>
      <c r="E131" s="408" t="s">
        <v>18</v>
      </c>
      <c r="F131" s="409"/>
      <c r="G131" s="408" t="s">
        <v>19</v>
      </c>
      <c r="H131" s="409"/>
      <c r="I131" s="87"/>
      <c r="J131" s="61"/>
    </row>
    <row r="132" spans="1:10" ht="14.15" customHeight="1" x14ac:dyDescent="0.35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5" customHeight="1" x14ac:dyDescent="0.35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5" customHeight="1" x14ac:dyDescent="0.35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5" customHeight="1" thickBot="1" x14ac:dyDescent="0.4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4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40</v>
      </c>
      <c r="G140" s="108" t="str">
        <f>G22</f>
        <v>FANGST T.O.M UKE 40</v>
      </c>
      <c r="H140" s="108" t="str">
        <f>H22</f>
        <v>RESTKVOTER UKE 40</v>
      </c>
      <c r="I140" s="108" t="str">
        <f>I22</f>
        <v>FANGST T.O.M. UKE 40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710.03588000000002</v>
      </c>
      <c r="G141" s="200">
        <f t="shared" si="11"/>
        <v>50373.216630000003</v>
      </c>
      <c r="H141" s="200">
        <f t="shared" si="11"/>
        <v>9820.7833699999992</v>
      </c>
      <c r="I141" s="200">
        <f t="shared" si="11"/>
        <v>43882.138949999993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48101</v>
      </c>
      <c r="F142" s="202">
        <v>458.24804999999998</v>
      </c>
      <c r="G142" s="202">
        <v>44156.651460000001</v>
      </c>
      <c r="H142" s="202">
        <f>E142-G142</f>
        <v>3944.348539999999</v>
      </c>
      <c r="I142" s="202">
        <v>37873.265679999997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11593</v>
      </c>
      <c r="F143" s="202">
        <v>251.78783000000001</v>
      </c>
      <c r="G143" s="202">
        <v>6216.5651699999999</v>
      </c>
      <c r="H143" s="202">
        <f>E143-G143</f>
        <v>5376.4348300000001</v>
      </c>
      <c r="I143" s="202">
        <v>6008.87327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2">
        <v>44985</v>
      </c>
      <c r="E145" s="205">
        <v>43832</v>
      </c>
      <c r="F145" s="206"/>
      <c r="G145" s="206">
        <v>35450.777519999996</v>
      </c>
      <c r="H145" s="206">
        <f>E145-G145</f>
        <v>8381.222480000004</v>
      </c>
      <c r="I145" s="206">
        <v>25621.529269999999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H146" si="12">D147+D152+D155</f>
        <v>69702</v>
      </c>
      <c r="E146" s="207">
        <f t="shared" si="12"/>
        <v>66018</v>
      </c>
      <c r="F146" s="208">
        <f t="shared" si="12"/>
        <v>1235.4145100000001</v>
      </c>
      <c r="G146" s="208">
        <f t="shared" si="12"/>
        <v>51665.859469999996</v>
      </c>
      <c r="H146" s="208">
        <f t="shared" si="12"/>
        <v>14352.140529999999</v>
      </c>
      <c r="I146" s="208">
        <f>I147+I152+I155</f>
        <v>51009.529879999995</v>
      </c>
      <c r="J146" s="53"/>
    </row>
    <row r="147" spans="1:10" ht="14.15" customHeight="1" x14ac:dyDescent="0.35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1085.2686100000001</v>
      </c>
      <c r="G147" s="210">
        <f>G148+G149+G151+G150</f>
        <v>38690.987999999998</v>
      </c>
      <c r="H147" s="210">
        <f>H148+H149+H150+H151</f>
        <v>11168.011999999999</v>
      </c>
      <c r="I147" s="210">
        <f>I148+I149+I150+I151</f>
        <v>38085.928839999993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14723</v>
      </c>
      <c r="F148" s="193">
        <v>189.99145999999999</v>
      </c>
      <c r="G148" s="193">
        <v>8692.5931500000006</v>
      </c>
      <c r="H148" s="193">
        <f>E148-G148</f>
        <v>6030.4068499999994</v>
      </c>
      <c r="I148" s="193">
        <v>8034.3183300000001</v>
      </c>
      <c r="J148" s="299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12292</v>
      </c>
      <c r="F149" s="193">
        <v>266.73104999999998</v>
      </c>
      <c r="G149" s="193">
        <v>10795.90083</v>
      </c>
      <c r="H149" s="193">
        <f>E149-G149</f>
        <v>1496.0991699999995</v>
      </c>
      <c r="I149" s="193">
        <v>9232.9280299999991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12090</v>
      </c>
      <c r="F150" s="193">
        <v>228.56360000000001</v>
      </c>
      <c r="G150" s="193">
        <v>8899.4245900000005</v>
      </c>
      <c r="H150" s="193">
        <f>E150-G150</f>
        <v>3190.5754099999995</v>
      </c>
      <c r="I150" s="193">
        <v>12435.30573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10754</v>
      </c>
      <c r="F151" s="193">
        <v>399.98250000000002</v>
      </c>
      <c r="G151" s="193">
        <v>10303.06943</v>
      </c>
      <c r="H151" s="193">
        <f>E151-G151</f>
        <v>450.93057000000044</v>
      </c>
      <c r="I151" s="193">
        <v>8383.3767499999994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>
        <v>3.9689999999999999</v>
      </c>
      <c r="G152" s="213">
        <v>5791.9204499999996</v>
      </c>
      <c r="H152" s="213">
        <f>H153+H154</f>
        <v>1075.0795500000004</v>
      </c>
      <c r="I152" s="213">
        <v>6225.8088900000002</v>
      </c>
      <c r="J152" s="300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6367</v>
      </c>
      <c r="F153" s="193"/>
      <c r="G153" s="193">
        <v>5663.5261499999997</v>
      </c>
      <c r="H153" s="193">
        <f>E153-G153</f>
        <v>703.47385000000031</v>
      </c>
      <c r="I153" s="193">
        <v>6084.6579899999997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128.39429999999993</v>
      </c>
      <c r="H154" s="193">
        <f t="shared" ref="H154:H160" si="13">E154-G154</f>
        <v>371.60570000000007</v>
      </c>
      <c r="I154" s="193">
        <f>I152-I153</f>
        <v>141.15090000000055</v>
      </c>
      <c r="J154" s="301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4">
        <v>9292</v>
      </c>
      <c r="F155" s="215">
        <v>146.17689999999999</v>
      </c>
      <c r="G155" s="215">
        <v>7182.9510200000004</v>
      </c>
      <c r="H155" s="215">
        <f t="shared" si="13"/>
        <v>2109.0489799999996</v>
      </c>
      <c r="I155" s="215">
        <v>6697.7921500000002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21.053560000000001</v>
      </c>
      <c r="H156" s="195">
        <f t="shared" si="13"/>
        <v>122.94644</v>
      </c>
      <c r="I156" s="195">
        <v>13.0062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252.60900000000001</v>
      </c>
      <c r="H157" s="217">
        <f t="shared" si="13"/>
        <v>-2.6090000000000089</v>
      </c>
      <c r="I157" s="217">
        <v>216.53579999999999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4.7263700000000002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128.7765</v>
      </c>
      <c r="H159" s="219">
        <f t="shared" si="13"/>
        <v>171.2235</v>
      </c>
      <c r="I159" s="219"/>
      <c r="J159" s="53"/>
    </row>
    <row r="160" spans="1:10" ht="17" thickBot="1" x14ac:dyDescent="0.4">
      <c r="A160" s="51"/>
      <c r="B160" s="52"/>
      <c r="C160" s="128" t="s">
        <v>85</v>
      </c>
      <c r="D160" s="223"/>
      <c r="E160" s="218"/>
      <c r="F160" s="219">
        <v>13.086710000000039</v>
      </c>
      <c r="G160" s="219">
        <v>1073.4752399999707</v>
      </c>
      <c r="H160" s="219">
        <f t="shared" si="13"/>
        <v>-1073.4752399999707</v>
      </c>
      <c r="I160" s="219">
        <v>1073.8992600000201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>D141+D145+D146+D156+D157+D158+D159+D160</f>
        <v>183959</v>
      </c>
      <c r="E162" s="188">
        <f t="shared" ref="E162:H162" si="14">E141+E145+E146+E156+E157+E158+E159+E160</f>
        <v>172738</v>
      </c>
      <c r="F162" s="188">
        <f t="shared" si="14"/>
        <v>1963.2634700000001</v>
      </c>
      <c r="G162" s="188">
        <f t="shared" si="14"/>
        <v>140965.76791999998</v>
      </c>
      <c r="H162" s="188">
        <f t="shared" si="14"/>
        <v>31772.232080000023</v>
      </c>
      <c r="I162" s="188">
        <f>I141+I145+I146+I156+I157+I158+I159+I160</f>
        <v>123816.63936</v>
      </c>
      <c r="J162" s="302"/>
    </row>
    <row r="163" spans="1:10" ht="14.25" customHeight="1" x14ac:dyDescent="0.35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35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140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9" t="s">
        <v>141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5" customHeight="1" thickBot="1" x14ac:dyDescent="0.4">
      <c r="A177" s="51"/>
      <c r="B177" s="52"/>
      <c r="C177" s="399" t="s">
        <v>1</v>
      </c>
      <c r="D177" s="400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40</v>
      </c>
      <c r="F186" s="108" t="str">
        <f>G22</f>
        <v>FANGST T.O.M UKE 40</v>
      </c>
      <c r="G186" s="168" t="str">
        <f>H22</f>
        <v>RESTKVOTER UKE 40</v>
      </c>
      <c r="H186" s="108" t="str">
        <f>I22</f>
        <v>FANGST T.O.M. UKE 40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1">
        <v>5394</v>
      </c>
      <c r="E187" s="189">
        <v>7.5653600000000001</v>
      </c>
      <c r="F187" s="189">
        <v>1631.4085</v>
      </c>
      <c r="G187" s="406">
        <f>D187-F187-F188</f>
        <v>1920.1457700000001</v>
      </c>
      <c r="H187" s="189">
        <v>1437.0104200000001</v>
      </c>
      <c r="I187" s="91"/>
      <c r="J187" s="306"/>
    </row>
    <row r="188" spans="1:10" ht="14.15" customHeight="1" x14ac:dyDescent="0.35">
      <c r="A188" s="51"/>
      <c r="B188" s="77"/>
      <c r="C188" s="78" t="s">
        <v>27</v>
      </c>
      <c r="D188" s="412"/>
      <c r="E188" s="190">
        <v>3.1717399999999998</v>
      </c>
      <c r="F188" s="190">
        <v>1842.4457299999999</v>
      </c>
      <c r="G188" s="420"/>
      <c r="H188" s="190">
        <v>1737.45379</v>
      </c>
      <c r="I188" s="91"/>
      <c r="J188" s="306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7.5325800000000003</v>
      </c>
      <c r="F189" s="191">
        <v>74.888469999999998</v>
      </c>
      <c r="G189" s="191">
        <f>D189-F189</f>
        <v>125.11153</v>
      </c>
      <c r="H189" s="191">
        <v>101.44834</v>
      </c>
      <c r="I189" s="91"/>
      <c r="J189" s="306"/>
    </row>
    <row r="190" spans="1:10" ht="14.15" customHeight="1" x14ac:dyDescent="0.35">
      <c r="A190" s="38"/>
      <c r="B190" s="92"/>
      <c r="C190" s="80" t="s">
        <v>55</v>
      </c>
      <c r="D190" s="277">
        <v>8090</v>
      </c>
      <c r="E190" s="192">
        <f>E191+E192+E193</f>
        <v>26.332810000000002</v>
      </c>
      <c r="F190" s="192">
        <f>F191+F192+F193</f>
        <v>8023.2292600000001</v>
      </c>
      <c r="G190" s="192">
        <f>D190-F190</f>
        <v>66.770739999999932</v>
      </c>
      <c r="H190" s="192">
        <f>H191+H192+H193</f>
        <v>7772.0168799999992</v>
      </c>
      <c r="I190" s="93"/>
      <c r="J190" s="307"/>
    </row>
    <row r="191" spans="1:10" ht="14.15" customHeight="1" x14ac:dyDescent="0.35">
      <c r="A191" s="69"/>
      <c r="B191" s="81"/>
      <c r="C191" s="82" t="s">
        <v>31</v>
      </c>
      <c r="D191" s="176"/>
      <c r="E191" s="193">
        <v>2.7035</v>
      </c>
      <c r="F191" s="193">
        <v>4067.8595799999998</v>
      </c>
      <c r="G191" s="193"/>
      <c r="H191" s="193">
        <v>3792.0825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12.76934</v>
      </c>
      <c r="F192" s="193">
        <v>2467.2036499999999</v>
      </c>
      <c r="G192" s="193"/>
      <c r="H192" s="193">
        <v>2472.5180399999999</v>
      </c>
      <c r="I192" s="106"/>
      <c r="J192" s="308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10.859970000000001</v>
      </c>
      <c r="F193" s="194">
        <v>1488.1660300000001</v>
      </c>
      <c r="G193" s="194"/>
      <c r="H193" s="194">
        <v>1507.41634</v>
      </c>
      <c r="I193" s="106"/>
      <c r="J193" s="308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0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2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44.602490000000003</v>
      </c>
      <c r="F196" s="180">
        <f>F187+F188+F189+F190+F194+F195</f>
        <v>11572.601159999998</v>
      </c>
      <c r="G196" s="180">
        <f>D196-F196</f>
        <v>2182.3988400000017</v>
      </c>
      <c r="H196" s="180">
        <f>H187+H188+H189+H190+H194+H195</f>
        <v>11047.93693</v>
      </c>
      <c r="I196" s="103"/>
      <c r="J196" s="302"/>
    </row>
    <row r="197" spans="1:10" ht="15.75" customHeight="1" x14ac:dyDescent="0.35">
      <c r="A197" s="51"/>
      <c r="B197" s="304"/>
      <c r="C197" s="411" t="s">
        <v>97</v>
      </c>
      <c r="D197" s="411"/>
      <c r="E197" s="411"/>
      <c r="F197" s="411"/>
      <c r="G197" s="411"/>
      <c r="H197" s="119"/>
      <c r="I197" s="119"/>
      <c r="J197" s="305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399" t="s">
        <v>1</v>
      </c>
      <c r="D204" s="400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20" t="s">
        <v>18</v>
      </c>
      <c r="E215" s="42" t="str">
        <f>F22</f>
        <v>FANGST UKE 40</v>
      </c>
      <c r="F215" s="42" t="str">
        <f>G22</f>
        <v>FANGST T.O.M UKE 40</v>
      </c>
      <c r="G215" s="42" t="str">
        <f>H22</f>
        <v>RESTKVOTER UKE 40</v>
      </c>
      <c r="H215" s="42" t="str">
        <f>I22</f>
        <v>FANGST T.O.M. UKE 40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6">
        <v>43379</v>
      </c>
      <c r="E216" s="266">
        <v>1.869</v>
      </c>
      <c r="F216" s="266">
        <v>42488.867769999997</v>
      </c>
      <c r="G216" s="266">
        <f>D216-F216</f>
        <v>890.13223000000289</v>
      </c>
      <c r="H216" s="266">
        <v>29772.540150000001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6">
        <v>100</v>
      </c>
      <c r="E217" s="266">
        <v>0.10675</v>
      </c>
      <c r="F217" s="266">
        <v>30.0185</v>
      </c>
      <c r="G217" s="266">
        <f>D217-F217</f>
        <v>69.981499999999997</v>
      </c>
      <c r="H217" s="266">
        <v>9.8690099999999994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8">
        <f>SUM(D216:D218)</f>
        <v>43534</v>
      </c>
      <c r="E219" s="268">
        <f>SUM(E216:E218)</f>
        <v>1.9757499999999999</v>
      </c>
      <c r="F219" s="268">
        <f>SUM(F216:F218)</f>
        <v>42518.886269999995</v>
      </c>
      <c r="G219" s="268">
        <f>D219-F219</f>
        <v>1015.1137300000046</v>
      </c>
      <c r="H219" s="268">
        <f>SUM(H216:H218)</f>
        <v>29782.409159999999</v>
      </c>
      <c r="I219" s="21"/>
      <c r="J219" s="53"/>
    </row>
    <row r="220" spans="1:10" ht="17.149999999999999" customHeight="1" thickBot="1" x14ac:dyDescent="0.4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4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5" customHeight="1" thickTop="1" thickBot="1" x14ac:dyDescent="0.4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5" customHeight="1" thickBot="1" x14ac:dyDescent="0.4">
      <c r="A258" s="2"/>
      <c r="B258" s="74"/>
      <c r="C258" s="399" t="s">
        <v>1</v>
      </c>
      <c r="D258" s="400"/>
      <c r="E258" s="113"/>
      <c r="F258" s="113"/>
      <c r="G258" s="75"/>
      <c r="H258" s="75"/>
      <c r="I258" s="75"/>
      <c r="J258" s="306"/>
    </row>
    <row r="259" spans="1:10" ht="14.15" customHeight="1" x14ac:dyDescent="0.35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5" customHeight="1" x14ac:dyDescent="0.35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4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4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5" customHeight="1" x14ac:dyDescent="0.35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35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35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5" customHeight="1" thickBot="1" x14ac:dyDescent="0.4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4">
      <c r="A268" s="51"/>
      <c r="B268" s="315"/>
      <c r="C268" s="42" t="s">
        <v>17</v>
      </c>
      <c r="D268" s="46" t="s">
        <v>18</v>
      </c>
      <c r="E268" s="42" t="str">
        <f>F22</f>
        <v>FANGST UKE 40</v>
      </c>
      <c r="F268" s="42" t="str">
        <f>G22</f>
        <v>FANGST T.O.M UKE 40</v>
      </c>
      <c r="G268" s="42" t="str">
        <f>H22</f>
        <v>RESTKVOTER UKE 40</v>
      </c>
      <c r="H268" s="42" t="str">
        <f>I22</f>
        <v>FANGST T.O.M. UKE 40 2020</v>
      </c>
      <c r="I268" s="28"/>
      <c r="J268" s="307"/>
    </row>
    <row r="269" spans="1:10" ht="14.15" customHeight="1" thickBot="1" x14ac:dyDescent="0.4">
      <c r="A269" s="38"/>
      <c r="B269" s="92"/>
      <c r="C269" s="44" t="s">
        <v>49</v>
      </c>
      <c r="D269" s="404">
        <v>1701</v>
      </c>
      <c r="E269" s="164">
        <v>2.01241</v>
      </c>
      <c r="F269" s="164">
        <v>462.73136</v>
      </c>
      <c r="G269" s="406">
        <f>D269-F269-F270</f>
        <v>313.28652</v>
      </c>
      <c r="H269" s="164">
        <v>546.76364999999998</v>
      </c>
      <c r="I269" s="93"/>
      <c r="J269" s="321"/>
    </row>
    <row r="270" spans="1:10" ht="14.15" customHeight="1" thickBot="1" x14ac:dyDescent="0.4">
      <c r="A270" s="51"/>
      <c r="B270" s="315"/>
      <c r="C270" s="47" t="s">
        <v>43</v>
      </c>
      <c r="D270" s="405"/>
      <c r="E270" s="164">
        <v>4.3875400000000004</v>
      </c>
      <c r="F270" s="164">
        <v>924.98212000000001</v>
      </c>
      <c r="G270" s="407"/>
      <c r="H270" s="164">
        <v>1513.33581</v>
      </c>
      <c r="I270" s="41"/>
      <c r="J270" s="307"/>
    </row>
    <row r="271" spans="1:10" ht="16" thickBot="1" x14ac:dyDescent="0.4">
      <c r="A271" s="38"/>
      <c r="B271" s="92"/>
      <c r="C271" s="43" t="s">
        <v>34</v>
      </c>
      <c r="D271" s="253">
        <v>5</v>
      </c>
      <c r="E271" s="165"/>
      <c r="F271" s="165">
        <v>1.389</v>
      </c>
      <c r="G271" s="164">
        <f>D271-F271</f>
        <v>3.6109999999999998</v>
      </c>
      <c r="H271" s="165">
        <v>3.32992</v>
      </c>
      <c r="I271" s="93"/>
      <c r="J271" s="322"/>
    </row>
    <row r="272" spans="1:10" ht="18.75" customHeight="1" thickBot="1" x14ac:dyDescent="0.4">
      <c r="A272" s="38"/>
      <c r="B272" s="323"/>
      <c r="C272" s="43" t="s">
        <v>53</v>
      </c>
      <c r="D272" s="264"/>
      <c r="E272" s="165">
        <v>1.8859999999999998E-2</v>
      </c>
      <c r="F272" s="165">
        <v>2.8349199999999999</v>
      </c>
      <c r="G272" s="164"/>
      <c r="H272" s="165">
        <v>2.1034299999999999</v>
      </c>
      <c r="I272" s="34"/>
      <c r="J272" s="317"/>
    </row>
    <row r="273" spans="1:10" ht="14.15" customHeight="1" thickBot="1" x14ac:dyDescent="0.4">
      <c r="A273" s="51"/>
      <c r="B273" s="315"/>
      <c r="C273" s="45" t="s">
        <v>50</v>
      </c>
      <c r="D273" s="265">
        <f>D259</f>
        <v>1706</v>
      </c>
      <c r="E273" s="166">
        <f>SUM(E269:E272)</f>
        <v>6.4188100000000006</v>
      </c>
      <c r="F273" s="166">
        <f>SUM(F269:F272)</f>
        <v>1391.9373999999998</v>
      </c>
      <c r="G273" s="166">
        <f>D273-F273</f>
        <v>314.0626000000002</v>
      </c>
      <c r="H273" s="166">
        <f>H269+H270+H271+H272</f>
        <v>2065.5328100000002</v>
      </c>
      <c r="I273" s="28"/>
      <c r="J273" s="317"/>
    </row>
    <row r="274" spans="1:10" ht="14.15" customHeight="1" x14ac:dyDescent="0.35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4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4">
      <c r="B286" s="359"/>
      <c r="C286" s="399" t="s">
        <v>1</v>
      </c>
      <c r="D286" s="400"/>
      <c r="E286" s="399" t="s">
        <v>51</v>
      </c>
      <c r="F286" s="400"/>
      <c r="G286" s="399" t="s">
        <v>52</v>
      </c>
      <c r="H286" s="400"/>
      <c r="I286" s="113"/>
      <c r="J286" s="360"/>
    </row>
    <row r="287" spans="1:10" ht="14.25" customHeight="1" x14ac:dyDescent="0.35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35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35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5" customHeight="1" thickBot="1" x14ac:dyDescent="0.4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5" customHeight="1" thickBot="1" x14ac:dyDescent="0.4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35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35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35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4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35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4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4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40</v>
      </c>
      <c r="G298" s="326" t="str">
        <f>G22</f>
        <v>FANGST T.O.M UKE 40</v>
      </c>
      <c r="H298" s="326" t="str">
        <f>H22</f>
        <v>RESTKVOTER UKE 40</v>
      </c>
      <c r="I298" s="326" t="str">
        <f>I22</f>
        <v>FANGST T.O.M. UKE 40 2020</v>
      </c>
      <c r="J298" s="360"/>
    </row>
    <row r="299" spans="1:10" ht="14.15" customHeight="1" x14ac:dyDescent="0.35">
      <c r="A299" s="27"/>
      <c r="B299" s="359"/>
      <c r="C299" s="328" t="s">
        <v>14</v>
      </c>
      <c r="D299" s="329">
        <f t="shared" ref="D299:H299" si="15">D303+D302+D301+D300</f>
        <v>16706</v>
      </c>
      <c r="E299" s="329">
        <f t="shared" si="15"/>
        <v>20688</v>
      </c>
      <c r="F299" s="375">
        <f t="shared" si="15"/>
        <v>88.378330000000005</v>
      </c>
      <c r="G299" s="375">
        <f t="shared" si="15"/>
        <v>12553.38</v>
      </c>
      <c r="H299" s="375">
        <f t="shared" si="15"/>
        <v>8134.6200000000008</v>
      </c>
      <c r="I299" s="375">
        <f>I303+I302+I301+I300</f>
        <v>26701.814969999999</v>
      </c>
      <c r="J299" s="360"/>
    </row>
    <row r="300" spans="1:10" ht="14.15" customHeight="1" x14ac:dyDescent="0.35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7766.9023699999998</v>
      </c>
      <c r="H300" s="333">
        <f t="shared" ref="H300:H304" si="16">E300-G300</f>
        <v>3758.0976300000002</v>
      </c>
      <c r="I300" s="333">
        <v>19026.557779999999</v>
      </c>
      <c r="J300" s="360"/>
    </row>
    <row r="301" spans="1:10" ht="14.15" customHeight="1" x14ac:dyDescent="0.35">
      <c r="A301" s="27"/>
      <c r="B301" s="359"/>
      <c r="C301" s="334" t="s">
        <v>9</v>
      </c>
      <c r="D301" s="332">
        <v>2224</v>
      </c>
      <c r="E301" s="332">
        <v>3000</v>
      </c>
      <c r="F301" s="333">
        <v>44.28</v>
      </c>
      <c r="G301" s="333">
        <v>1066.7822000000001</v>
      </c>
      <c r="H301" s="333">
        <f>E301-G301</f>
        <v>1933.2177999999999</v>
      </c>
      <c r="I301" s="333">
        <v>1929.1279500000001</v>
      </c>
      <c r="J301" s="360"/>
    </row>
    <row r="302" spans="1:10" ht="14.15" customHeight="1" x14ac:dyDescent="0.35">
      <c r="A302" s="27"/>
      <c r="B302" s="359"/>
      <c r="C302" s="334" t="s">
        <v>45</v>
      </c>
      <c r="D302" s="332">
        <v>1366</v>
      </c>
      <c r="E302" s="332">
        <v>1441</v>
      </c>
      <c r="F302" s="333">
        <v>28.00733</v>
      </c>
      <c r="G302" s="333">
        <v>1386.6381799999999</v>
      </c>
      <c r="H302" s="333">
        <f t="shared" si="16"/>
        <v>54.36182000000008</v>
      </c>
      <c r="I302" s="333">
        <v>2313.1884399999999</v>
      </c>
      <c r="J302" s="360"/>
    </row>
    <row r="303" spans="1:10" ht="14.15" customHeight="1" thickBot="1" x14ac:dyDescent="0.4">
      <c r="A303" s="27"/>
      <c r="B303" s="359"/>
      <c r="C303" s="335" t="s">
        <v>131</v>
      </c>
      <c r="D303" s="336">
        <v>4571</v>
      </c>
      <c r="E303" s="336">
        <v>4722</v>
      </c>
      <c r="F303" s="333">
        <v>16.091000000000001</v>
      </c>
      <c r="G303" s="333">
        <v>2333.0572499999998</v>
      </c>
      <c r="H303" s="333">
        <f t="shared" si="16"/>
        <v>2388.9427500000002</v>
      </c>
      <c r="I303" s="333">
        <v>3432.9407999999999</v>
      </c>
      <c r="J303" s="360"/>
    </row>
    <row r="304" spans="1:10" ht="14.15" customHeight="1" thickBot="1" x14ac:dyDescent="0.4">
      <c r="A304" s="27"/>
      <c r="B304" s="359"/>
      <c r="C304" s="337" t="s">
        <v>36</v>
      </c>
      <c r="D304" s="338">
        <v>5500</v>
      </c>
      <c r="E304" s="338">
        <v>5500</v>
      </c>
      <c r="F304" s="339">
        <v>1.9359999999999999</v>
      </c>
      <c r="G304" s="339">
        <v>2202.9506099999999</v>
      </c>
      <c r="H304" s="339">
        <f t="shared" si="16"/>
        <v>3297.0493900000001</v>
      </c>
      <c r="I304" s="339">
        <v>3880.79828</v>
      </c>
      <c r="J304" s="360"/>
    </row>
    <row r="305" spans="1:10" ht="14.15" customHeight="1" x14ac:dyDescent="0.35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34.783610000000003</v>
      </c>
      <c r="G305" s="330">
        <f>G307+G306</f>
        <v>2888.1481699999999</v>
      </c>
      <c r="H305" s="330">
        <f>E305-G305</f>
        <v>5111.8518299999996</v>
      </c>
      <c r="I305" s="330">
        <f>I307+I306</f>
        <v>4404.7872399999997</v>
      </c>
      <c r="J305" s="360"/>
    </row>
    <row r="306" spans="1:10" ht="14.15" customHeight="1" x14ac:dyDescent="0.35">
      <c r="A306" s="27"/>
      <c r="B306" s="359"/>
      <c r="C306" s="334" t="s">
        <v>27</v>
      </c>
      <c r="D306" s="340"/>
      <c r="E306" s="332"/>
      <c r="F306" s="333"/>
      <c r="G306" s="333">
        <v>12.45243</v>
      </c>
      <c r="H306" s="333"/>
      <c r="I306" s="333">
        <v>652.47580000000005</v>
      </c>
      <c r="J306" s="360"/>
    </row>
    <row r="307" spans="1:10" ht="14.15" customHeight="1" thickBot="1" x14ac:dyDescent="0.4">
      <c r="A307" s="27"/>
      <c r="B307" s="359"/>
      <c r="C307" s="341" t="s">
        <v>46</v>
      </c>
      <c r="D307" s="342"/>
      <c r="E307" s="343"/>
      <c r="F307" s="344">
        <v>34.783610000000003</v>
      </c>
      <c r="G307" s="344">
        <v>2875.6957400000001</v>
      </c>
      <c r="H307" s="344"/>
      <c r="I307" s="344">
        <v>3752.3114399999999</v>
      </c>
      <c r="J307" s="360"/>
    </row>
    <row r="308" spans="1:10" ht="14.15" customHeight="1" thickBot="1" x14ac:dyDescent="0.4">
      <c r="A308" s="27"/>
      <c r="B308" s="359"/>
      <c r="C308" s="337" t="s">
        <v>11</v>
      </c>
      <c r="D308" s="338">
        <v>10</v>
      </c>
      <c r="E308" s="338">
        <v>10</v>
      </c>
      <c r="F308" s="339"/>
      <c r="G308" s="339">
        <v>0.39150000000000001</v>
      </c>
      <c r="H308" s="339">
        <f>E308-G308</f>
        <v>9.6084999999999994</v>
      </c>
      <c r="I308" s="339">
        <v>0.69179999999999997</v>
      </c>
      <c r="J308" s="360"/>
    </row>
    <row r="309" spans="1:10" ht="14.15" customHeight="1" thickBot="1" x14ac:dyDescent="0.4">
      <c r="A309" s="27"/>
      <c r="B309" s="359"/>
      <c r="C309" s="345" t="s">
        <v>47</v>
      </c>
      <c r="D309" s="346"/>
      <c r="E309" s="347"/>
      <c r="F309" s="339">
        <v>0.28676000000000001</v>
      </c>
      <c r="G309" s="339">
        <v>41.986220000000003</v>
      </c>
      <c r="H309" s="339">
        <f>E309-G309</f>
        <v>-41.986220000000003</v>
      </c>
      <c r="I309" s="339">
        <v>61.24071</v>
      </c>
      <c r="J309" s="360"/>
    </row>
    <row r="310" spans="1:10" ht="19" thickBot="1" x14ac:dyDescent="0.4">
      <c r="A310" s="27"/>
      <c r="B310" s="359"/>
      <c r="C310" s="348" t="s">
        <v>7</v>
      </c>
      <c r="D310" s="349">
        <f t="shared" ref="D310:H310" si="17">D299+D304+D305+D308+D309</f>
        <v>30216</v>
      </c>
      <c r="E310" s="349">
        <f t="shared" si="17"/>
        <v>34198</v>
      </c>
      <c r="F310" s="350">
        <f t="shared" si="17"/>
        <v>125.38470000000002</v>
      </c>
      <c r="G310" s="350">
        <f t="shared" si="17"/>
        <v>17686.856499999998</v>
      </c>
      <c r="H310" s="350">
        <f t="shared" si="17"/>
        <v>16511.143500000002</v>
      </c>
      <c r="I310" s="350">
        <f>I299+I304+I305+I308+I309</f>
        <v>35049.332999999999</v>
      </c>
      <c r="J310" s="360"/>
    </row>
    <row r="311" spans="1:10" ht="14.15" customHeight="1" x14ac:dyDescent="0.35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5" customHeight="1" x14ac:dyDescent="0.35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5" customHeight="1" x14ac:dyDescent="0.35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4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35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5" customHeight="1" x14ac:dyDescent="0.35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5" customHeight="1" thickBot="1" x14ac:dyDescent="0.4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5" customHeight="1" thickBot="1" x14ac:dyDescent="0.4">
      <c r="A321" s="27"/>
      <c r="B321" s="359"/>
      <c r="C321" s="399" t="s">
        <v>1</v>
      </c>
      <c r="D321" s="400"/>
      <c r="E321" s="113"/>
      <c r="F321" s="113"/>
      <c r="G321" s="113"/>
      <c r="H321" s="113"/>
      <c r="I321" s="113"/>
      <c r="J321" s="360"/>
    </row>
    <row r="322" spans="1:10" ht="14.15" customHeight="1" x14ac:dyDescent="0.35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5" customHeight="1" x14ac:dyDescent="0.35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5" customHeight="1" thickBot="1" x14ac:dyDescent="0.4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5" customHeight="1" thickBot="1" x14ac:dyDescent="0.4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5" customHeight="1" x14ac:dyDescent="0.35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5" customHeight="1" x14ac:dyDescent="0.35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5" customHeight="1" x14ac:dyDescent="0.35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5" customHeight="1" thickBot="1" x14ac:dyDescent="0.4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4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4">
      <c r="A331" s="303"/>
      <c r="B331" s="362"/>
      <c r="C331" s="327" t="s">
        <v>73</v>
      </c>
      <c r="D331" s="366" t="s">
        <v>74</v>
      </c>
      <c r="E331" s="327" t="str">
        <f>F22</f>
        <v>FANGST UKE 40</v>
      </c>
      <c r="F331" s="327" t="str">
        <f>G22</f>
        <v>FANGST T.O.M UKE 40</v>
      </c>
      <c r="G331" s="367" t="str">
        <f>H22</f>
        <v>RESTKVOTER UKE 40</v>
      </c>
      <c r="H331" s="327" t="str">
        <f>I22</f>
        <v>FANGST T.O.M. UKE 40 2020</v>
      </c>
      <c r="I331" s="310"/>
      <c r="J331" s="363"/>
    </row>
    <row r="332" spans="1:10" ht="14.15" customHeight="1" thickBot="1" x14ac:dyDescent="0.4">
      <c r="A332" s="303"/>
      <c r="B332" s="359"/>
      <c r="C332" s="337" t="s">
        <v>75</v>
      </c>
      <c r="D332" s="393">
        <v>1685</v>
      </c>
      <c r="E332" s="382">
        <f>E334+E333</f>
        <v>0</v>
      </c>
      <c r="F332" s="382">
        <f>F334+F333</f>
        <v>1827.08673</v>
      </c>
      <c r="G332" s="396">
        <f>D332-F332</f>
        <v>-142.08672999999999</v>
      </c>
      <c r="H332" s="382">
        <f>SUM(H333:H334)</f>
        <v>1914.2534299999998</v>
      </c>
      <c r="I332" s="113"/>
      <c r="J332" s="360"/>
    </row>
    <row r="333" spans="1:10" ht="14.15" customHeight="1" thickBot="1" x14ac:dyDescent="0.4">
      <c r="A333" s="27"/>
      <c r="B333" s="359"/>
      <c r="C333" s="368" t="s">
        <v>65</v>
      </c>
      <c r="D333" s="394"/>
      <c r="E333" s="383"/>
      <c r="F333" s="383">
        <v>1518.92318</v>
      </c>
      <c r="G333" s="397"/>
      <c r="H333" s="383">
        <v>1555.7296899999999</v>
      </c>
      <c r="I333" s="113"/>
      <c r="J333" s="360"/>
    </row>
    <row r="334" spans="1:10" ht="14.15" customHeight="1" thickBot="1" x14ac:dyDescent="0.4">
      <c r="A334" s="27"/>
      <c r="B334" s="359"/>
      <c r="C334" s="368" t="s">
        <v>66</v>
      </c>
      <c r="D334" s="395"/>
      <c r="E334" s="384"/>
      <c r="F334" s="384">
        <v>308.16354999999999</v>
      </c>
      <c r="G334" s="398"/>
      <c r="H334" s="384">
        <v>358.52373999999998</v>
      </c>
      <c r="I334" s="113"/>
      <c r="J334" s="360"/>
    </row>
    <row r="335" spans="1:10" ht="14.15" customHeight="1" thickBot="1" x14ac:dyDescent="0.4">
      <c r="A335" s="27"/>
      <c r="B335" s="359"/>
      <c r="C335" s="337" t="s">
        <v>76</v>
      </c>
      <c r="D335" s="393">
        <v>1240</v>
      </c>
      <c r="E335" s="382">
        <f>SUM(E336:E337)</f>
        <v>0</v>
      </c>
      <c r="F335" s="382">
        <f>SUM(F336:F337)</f>
        <v>1302.8382999999999</v>
      </c>
      <c r="G335" s="396">
        <f>D335-F335</f>
        <v>-62.83829999999989</v>
      </c>
      <c r="H335" s="382">
        <f>SUM(H336:H337)</f>
        <v>1675.2456500000001</v>
      </c>
      <c r="I335" s="113"/>
      <c r="J335" s="360"/>
    </row>
    <row r="336" spans="1:10" ht="14.15" customHeight="1" thickBot="1" x14ac:dyDescent="0.4">
      <c r="A336" s="27"/>
      <c r="B336" s="359"/>
      <c r="C336" s="368" t="s">
        <v>65</v>
      </c>
      <c r="D336" s="394"/>
      <c r="E336" s="369"/>
      <c r="F336" s="369">
        <v>1056.9746</v>
      </c>
      <c r="G336" s="397"/>
      <c r="H336" s="369">
        <v>1358.1619000000001</v>
      </c>
      <c r="I336" s="113"/>
      <c r="J336" s="360"/>
    </row>
    <row r="337" spans="1:10" ht="14.15" customHeight="1" thickBot="1" x14ac:dyDescent="0.4">
      <c r="A337" s="27"/>
      <c r="B337" s="359"/>
      <c r="C337" s="368" t="s">
        <v>66</v>
      </c>
      <c r="D337" s="395"/>
      <c r="E337" s="369"/>
      <c r="F337" s="369">
        <v>245.86369999999999</v>
      </c>
      <c r="G337" s="398"/>
      <c r="H337" s="369">
        <v>317.08375000000001</v>
      </c>
      <c r="I337" s="113"/>
      <c r="J337" s="360"/>
    </row>
    <row r="338" spans="1:10" ht="14.15" customHeight="1" thickBot="1" x14ac:dyDescent="0.4">
      <c r="A338" s="27"/>
      <c r="B338" s="359"/>
      <c r="C338" s="337" t="s">
        <v>77</v>
      </c>
      <c r="D338" s="393">
        <v>1240</v>
      </c>
      <c r="E338" s="389">
        <f>SUM(E339:E340)</f>
        <v>58.479680000000002</v>
      </c>
      <c r="F338" s="389">
        <f>SUM(F339:F340)</f>
        <v>365.33897999999999</v>
      </c>
      <c r="G338" s="396">
        <f>D338-F338</f>
        <v>874.66102000000001</v>
      </c>
      <c r="H338" s="389">
        <f>SUM(H339:H340)</f>
        <v>497.06335000000001</v>
      </c>
      <c r="I338" s="113"/>
      <c r="J338" s="360"/>
    </row>
    <row r="339" spans="1:10" ht="14.15" customHeight="1" thickBot="1" x14ac:dyDescent="0.4">
      <c r="A339" s="27"/>
      <c r="B339" s="359"/>
      <c r="C339" s="368" t="s">
        <v>65</v>
      </c>
      <c r="D339" s="394"/>
      <c r="E339" s="369">
        <v>51.460500000000003</v>
      </c>
      <c r="F339" s="369">
        <v>311.23149999999998</v>
      </c>
      <c r="G339" s="397"/>
      <c r="H339" s="369">
        <v>411.83447000000001</v>
      </c>
      <c r="I339" s="113"/>
      <c r="J339" s="360"/>
    </row>
    <row r="340" spans="1:10" ht="14.15" customHeight="1" thickBot="1" x14ac:dyDescent="0.4">
      <c r="A340" s="27"/>
      <c r="B340" s="359"/>
      <c r="C340" s="368" t="s">
        <v>66</v>
      </c>
      <c r="D340" s="395"/>
      <c r="E340" s="385">
        <v>7.0191800000000004</v>
      </c>
      <c r="F340" s="385">
        <v>54.107480000000002</v>
      </c>
      <c r="G340" s="398"/>
      <c r="H340" s="385">
        <v>85.228880000000004</v>
      </c>
      <c r="I340" s="113"/>
      <c r="J340" s="360"/>
    </row>
    <row r="341" spans="1:10" ht="14.15" customHeight="1" thickBot="1" x14ac:dyDescent="0.4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5" customHeight="1" thickBot="1" x14ac:dyDescent="0.4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58.479680000000002</v>
      </c>
      <c r="F342" s="387">
        <f>F332+F335+F338+F341</f>
        <v>3495.2640099999999</v>
      </c>
      <c r="G342" s="377">
        <f>SUM(G332:G341)</f>
        <v>669.73599000000013</v>
      </c>
      <c r="H342" s="387">
        <f>H332+H335+H338+H341</f>
        <v>4086.5624299999995</v>
      </c>
      <c r="I342" s="113"/>
      <c r="J342" s="360"/>
    </row>
    <row r="343" spans="1:10" ht="14.15" customHeight="1" x14ac:dyDescent="0.35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5" customHeight="1" thickBot="1" x14ac:dyDescent="0.4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40
&amp;"-,Normal"&amp;11(iht. motatte landings- og sluttsedler fra fiskesalgslagene; alle tallstørrelser i hele tonn)&amp;R10.10.2021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UKE_40_2021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Borgny Brørvik</cp:lastModifiedBy>
  <cp:lastPrinted>2021-09-13T12:24:16Z</cp:lastPrinted>
  <dcterms:created xsi:type="dcterms:W3CDTF">2011-07-06T12:13:20Z</dcterms:created>
  <dcterms:modified xsi:type="dcterms:W3CDTF">2021-10-12T07:52:31Z</dcterms:modified>
</cp:coreProperties>
</file>