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evgul\Settings\Desktop\"/>
    </mc:Choice>
  </mc:AlternateContent>
  <xr:revisionPtr revIDLastSave="0" documentId="8_{6AB8EC66-555B-4559-A22B-5F3051F1D5E7}" xr6:coauthVersionLast="47" xr6:coauthVersionMax="47" xr10:uidLastSave="{00000000-0000-0000-0000-000000000000}"/>
  <bookViews>
    <workbookView xWindow="2805" yWindow="1275" windowWidth="33195" windowHeight="18495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G422" i="1"/>
  <c r="F422" i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E417" i="1"/>
  <c r="H416" i="1"/>
  <c r="F416" i="1"/>
  <c r="G416" i="1" s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I390" i="1"/>
  <c r="H390" i="1"/>
  <c r="G390" i="1"/>
  <c r="F390" i="1"/>
  <c r="I389" i="1"/>
  <c r="G389" i="1"/>
  <c r="H389" i="1" s="1"/>
  <c r="F389" i="1"/>
  <c r="I388" i="1"/>
  <c r="I386" i="1" s="1"/>
  <c r="G388" i="1"/>
  <c r="G386" i="1" s="1"/>
  <c r="H386" i="1" s="1"/>
  <c r="F388" i="1"/>
  <c r="I387" i="1"/>
  <c r="G387" i="1"/>
  <c r="F387" i="1"/>
  <c r="F386" i="1"/>
  <c r="I385" i="1"/>
  <c r="H385" i="1"/>
  <c r="G385" i="1"/>
  <c r="F385" i="1"/>
  <c r="I384" i="1"/>
  <c r="G384" i="1"/>
  <c r="H384" i="1" s="1"/>
  <c r="F384" i="1"/>
  <c r="F380" i="1" s="1"/>
  <c r="F391" i="1" s="1"/>
  <c r="I383" i="1"/>
  <c r="I380" i="1" s="1"/>
  <c r="H383" i="1"/>
  <c r="G383" i="1"/>
  <c r="F383" i="1"/>
  <c r="I382" i="1"/>
  <c r="G382" i="1"/>
  <c r="H382" i="1" s="1"/>
  <c r="F382" i="1"/>
  <c r="I381" i="1"/>
  <c r="H381" i="1"/>
  <c r="G381" i="1"/>
  <c r="F381" i="1"/>
  <c r="G380" i="1"/>
  <c r="D380" i="1"/>
  <c r="D391" i="1" s="1"/>
  <c r="H372" i="1"/>
  <c r="F372" i="1"/>
  <c r="D354" i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H354" i="1" s="1"/>
  <c r="F350" i="1"/>
  <c r="F354" i="1" s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F296" i="1"/>
  <c r="F295" i="1" s="1"/>
  <c r="E296" i="1"/>
  <c r="E295" i="1" s="1"/>
  <c r="E299" i="1" s="1"/>
  <c r="H295" i="1"/>
  <c r="H299" i="1" s="1"/>
  <c r="D253" i="1"/>
  <c r="H252" i="1"/>
  <c r="F252" i="1"/>
  <c r="G252" i="1" s="1"/>
  <c r="E252" i="1"/>
  <c r="H251" i="1"/>
  <c r="F251" i="1"/>
  <c r="F249" i="1" s="1"/>
  <c r="E251" i="1"/>
  <c r="E249" i="1" s="1"/>
  <c r="E253" i="1" s="1"/>
  <c r="H250" i="1"/>
  <c r="H249" i="1" s="1"/>
  <c r="H253" i="1" s="1"/>
  <c r="F250" i="1"/>
  <c r="E250" i="1"/>
  <c r="H207" i="1"/>
  <c r="D207" i="1"/>
  <c r="H206" i="1"/>
  <c r="F206" i="1"/>
  <c r="G206" i="1" s="1"/>
  <c r="E206" i="1"/>
  <c r="H205" i="1"/>
  <c r="G205" i="1"/>
  <c r="F205" i="1"/>
  <c r="E205" i="1"/>
  <c r="H204" i="1"/>
  <c r="F204" i="1"/>
  <c r="G204" i="1" s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E178" i="1" s="1"/>
  <c r="H180" i="1"/>
  <c r="H178" i="1" s="1"/>
  <c r="H184" i="1" s="1"/>
  <c r="F180" i="1"/>
  <c r="E180" i="1"/>
  <c r="H179" i="1"/>
  <c r="F179" i="1"/>
  <c r="E179" i="1"/>
  <c r="G178" i="1"/>
  <c r="F178" i="1"/>
  <c r="H177" i="1"/>
  <c r="F177" i="1"/>
  <c r="G177" i="1" s="1"/>
  <c r="E177" i="1"/>
  <c r="H176" i="1"/>
  <c r="F176" i="1"/>
  <c r="E176" i="1"/>
  <c r="H175" i="1"/>
  <c r="F175" i="1"/>
  <c r="F184" i="1" s="1"/>
  <c r="G184" i="1" s="1"/>
  <c r="E175" i="1"/>
  <c r="E184" i="1" s="1"/>
  <c r="D167" i="1"/>
  <c r="D169" i="1" s="1"/>
  <c r="I148" i="1"/>
  <c r="G148" i="1"/>
  <c r="H148" i="1" s="1"/>
  <c r="F148" i="1"/>
  <c r="I147" i="1"/>
  <c r="H147" i="1"/>
  <c r="G147" i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H140" i="1" s="1"/>
  <c r="H139" i="1" s="1"/>
  <c r="F140" i="1"/>
  <c r="F139" i="1" s="1"/>
  <c r="I139" i="1"/>
  <c r="G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I150" i="1" s="1"/>
  <c r="H135" i="1"/>
  <c r="F135" i="1"/>
  <c r="G134" i="1"/>
  <c r="G133" i="1" s="1"/>
  <c r="F134" i="1"/>
  <c r="E134" i="1"/>
  <c r="E133" i="1" s="1"/>
  <c r="D134" i="1"/>
  <c r="D133" i="1"/>
  <c r="I132" i="1"/>
  <c r="H132" i="1"/>
  <c r="F132" i="1"/>
  <c r="I131" i="1"/>
  <c r="G131" i="1"/>
  <c r="H131" i="1" s="1"/>
  <c r="F131" i="1"/>
  <c r="I130" i="1"/>
  <c r="G130" i="1"/>
  <c r="H130" i="1" s="1"/>
  <c r="F130" i="1"/>
  <c r="I129" i="1"/>
  <c r="G129" i="1"/>
  <c r="H129" i="1" s="1"/>
  <c r="H128" i="1" s="1"/>
  <c r="F129" i="1"/>
  <c r="F128" i="1" s="1"/>
  <c r="I128" i="1"/>
  <c r="E128" i="1"/>
  <c r="E150" i="1" s="1"/>
  <c r="D128" i="1"/>
  <c r="D150" i="1" s="1"/>
  <c r="C126" i="1"/>
  <c r="I106" i="1"/>
  <c r="G106" i="1"/>
  <c r="H106" i="1" s="1"/>
  <c r="F106" i="1"/>
  <c r="I105" i="1"/>
  <c r="H105" i="1"/>
  <c r="G105" i="1"/>
  <c r="F105" i="1"/>
  <c r="I104" i="1"/>
  <c r="G104" i="1"/>
  <c r="H104" i="1" s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F97" i="1"/>
  <c r="F96" i="1" s="1"/>
  <c r="F95" i="1" s="1"/>
  <c r="I96" i="1"/>
  <c r="I95" i="1" s="1"/>
  <c r="I107" i="1" s="1"/>
  <c r="E96" i="1"/>
  <c r="D96" i="1"/>
  <c r="D95" i="1" s="1"/>
  <c r="E95" i="1"/>
  <c r="I94" i="1"/>
  <c r="H94" i="1"/>
  <c r="G94" i="1"/>
  <c r="F94" i="1"/>
  <c r="I93" i="1"/>
  <c r="G93" i="1"/>
  <c r="H93" i="1" s="1"/>
  <c r="H92" i="1" s="1"/>
  <c r="F93" i="1"/>
  <c r="I92" i="1"/>
  <c r="F92" i="1"/>
  <c r="E92" i="1"/>
  <c r="E107" i="1" s="1"/>
  <c r="D92" i="1"/>
  <c r="C89" i="1"/>
  <c r="H85" i="1"/>
  <c r="F85" i="1"/>
  <c r="D85" i="1"/>
  <c r="G61" i="1"/>
  <c r="G60" i="1"/>
  <c r="H55" i="1"/>
  <c r="F55" i="1"/>
  <c r="G32" i="1" s="1"/>
  <c r="H32" i="1" s="1"/>
  <c r="E55" i="1"/>
  <c r="I43" i="1"/>
  <c r="H43" i="1"/>
  <c r="G43" i="1"/>
  <c r="F43" i="1"/>
  <c r="H42" i="1"/>
  <c r="I41" i="1"/>
  <c r="G41" i="1"/>
  <c r="H41" i="1" s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G35" i="1"/>
  <c r="F35" i="1"/>
  <c r="F34" i="1" s="1"/>
  <c r="F26" i="1" s="1"/>
  <c r="E35" i="1"/>
  <c r="D34" i="1"/>
  <c r="I33" i="1"/>
  <c r="H33" i="1"/>
  <c r="G33" i="1"/>
  <c r="F33" i="1"/>
  <c r="I32" i="1"/>
  <c r="F32" i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F28" i="1"/>
  <c r="F27" i="1" s="1"/>
  <c r="I27" i="1"/>
  <c r="E27" i="1"/>
  <c r="D27" i="1"/>
  <c r="E26" i="1"/>
  <c r="D26" i="1"/>
  <c r="I25" i="1"/>
  <c r="G25" i="1"/>
  <c r="H25" i="1" s="1"/>
  <c r="H23" i="1" s="1"/>
  <c r="F25" i="1"/>
  <c r="I24" i="1"/>
  <c r="I23" i="1" s="1"/>
  <c r="H24" i="1"/>
  <c r="G24" i="1"/>
  <c r="F24" i="1"/>
  <c r="G23" i="1"/>
  <c r="F23" i="1"/>
  <c r="E23" i="1"/>
  <c r="E44" i="1" s="1"/>
  <c r="D23" i="1"/>
  <c r="D44" i="1" s="1"/>
  <c r="H16" i="1"/>
  <c r="F16" i="1"/>
  <c r="D16" i="1"/>
  <c r="I34" i="1" l="1"/>
  <c r="I26" i="1" s="1"/>
  <c r="I44" i="1" s="1"/>
  <c r="F44" i="1"/>
  <c r="H35" i="1"/>
  <c r="G34" i="1"/>
  <c r="H34" i="1" s="1"/>
  <c r="H26" i="1" s="1"/>
  <c r="H44" i="1" s="1"/>
  <c r="D107" i="1"/>
  <c r="H96" i="1"/>
  <c r="H95" i="1" s="1"/>
  <c r="H107" i="1" s="1"/>
  <c r="G391" i="1"/>
  <c r="G249" i="1"/>
  <c r="F253" i="1"/>
  <c r="G253" i="1" s="1"/>
  <c r="G295" i="1"/>
  <c r="F299" i="1"/>
  <c r="I391" i="1"/>
  <c r="F423" i="1"/>
  <c r="G413" i="1"/>
  <c r="F107" i="1"/>
  <c r="H134" i="1"/>
  <c r="H133" i="1" s="1"/>
  <c r="H150" i="1" s="1"/>
  <c r="G299" i="1"/>
  <c r="G354" i="1"/>
  <c r="G27" i="1"/>
  <c r="F133" i="1"/>
  <c r="F150" i="1" s="1"/>
  <c r="H380" i="1"/>
  <c r="H391" i="1" s="1"/>
  <c r="H28" i="1"/>
  <c r="H27" i="1" s="1"/>
  <c r="G92" i="1"/>
  <c r="G128" i="1"/>
  <c r="G150" i="1" s="1"/>
  <c r="G175" i="1"/>
  <c r="F207" i="1"/>
  <c r="G207" i="1" s="1"/>
  <c r="G96" i="1"/>
  <c r="G95" i="1" s="1"/>
  <c r="G55" i="1"/>
  <c r="G350" i="1"/>
  <c r="G26" i="1" l="1"/>
  <c r="G44" i="1" s="1"/>
  <c r="G107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<sst xmlns="http://schemas.openxmlformats.org/spreadsheetml/2006/main" count="359" uniqueCount="152">
  <si>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</si>
  <si>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</si>
  <si>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</si>
  <si>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</si>
  <si>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</si>
  <si>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</si>
  <si>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</si>
  <si>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</si>
  <si>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</si>
  <si>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</si>
  <si>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</si>
  <si>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</si>
  <si>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</si>
  <si>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</si>
  <si>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</si>
  <si>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</si>
  <si>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</si>
  <si>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</si>
  <si>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</si>
  <si>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</si>
  <si>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</si>
  <si>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</si>
  <si>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</si>
  <si>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</si>
  <si>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</si>
  <si>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</si>
  <si>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</si>
  <si>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</si>
  <si>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</si>
  <si>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</si>
  <si>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</si>
  <si>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</si>
  <si>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</si>
  <si>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</si>
  <si>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</si>
  <si>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</si>
  <si>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</si>
  <si>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</si>
  <si>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</si>
  <si>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</si>
  <si>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</si>
  <si>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</si>
  <si>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</si>
  <si>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</si>
  <si>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</si>
  <si>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</si>
  <si>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</si>
  <si>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</si>
  <si>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</si>
  <si>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</si>
  <si>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</si>
  <si>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</si>
  <si>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</si>
  <si>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</si>
  <si>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</si>
  <si>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</si>
  <si>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</si>
  <si>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</si>
  <si>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</si>
  <si>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</si>
  <si>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</si>
  <si>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</si>
  <si>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</si>
  <si>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</si>
  <si>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</si>
  <si>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</si>
  <si>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</si>
  <si>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</si>
  <si>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</si>
  <si>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</si>
  <si>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</si>
  <si>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</si>
  <si>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</si>
  <si>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</si>
  <si>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</si>
  <si>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</si>
  <si>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</si>
  <si>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</si>
  <si>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</si>
  <si>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</si>
  <si>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</si>
  <si>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</si>
  <si>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</si>
  <si>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</si>
  <si>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</si>
  <si>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</si>
  <si>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</si>
  <si>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</si>
  <si>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</si>
  <si>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</si>
  <si>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</si>
  <si>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</si>
  <si>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</si>
  <si>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</si>
  <si>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</si>
  <si>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</si>
  <si>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</si>
  <si>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</si>
  <si>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</si>
  <si>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</si>
  <si>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</si>
  <si>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</si>
  <si>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</si>
  <si>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</si>
  <si>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</si>
  <si>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</si>
  <si>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</si>
  <si>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</si>
  <si>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</si>
  <si>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</si>
  <si>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</si>
  <si>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</si>
  <si>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</si>
  <si>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</si>
  <si>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</si>
  <si>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</si>
  <si>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</si>
  <si>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</si>
  <si>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</si>
  <si>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</si>
  <si>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</si>
  <si>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</si>
  <si>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</si>
  <si>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</si>
  <si>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</si>
  <si>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</si>
  <si>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</si>
  <si>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</si>
  <si>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</si>
  <si>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</si>
  <si>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</si>
  <si>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</si>
  <si>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</si>
  <si>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</si>
  <si>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</si>
  <si>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</si>
  <si>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</si>
  <si>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</si>
  <si>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</si>
  <si>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</si>
  <si>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</si>
  <si>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</si>
  <si>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</si>
  <si>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</si>
  <si>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2 Registrert rekreasjonsfiske utgjør 39 tonn, men det legges til grunn at hele avsetningen tas</t>
  </si>
  <si>
    <t>4 Registrert rekreasjonsfiske utgjør 135 tonn, men det legges til grunn at hele avsetningen tas</t>
  </si>
  <si>
    <t>3 Registrert rekreasjonsfiske utgjør 489 tonn, men det legges til grunn at hele avsetningen tas</t>
  </si>
  <si>
    <t>FANGST UKE 15</t>
  </si>
  <si>
    <t>FANGST T.O.M UKE 15</t>
  </si>
  <si>
    <t>RESTKVOTER UKE 15</t>
  </si>
  <si>
    <t>FANGST T.O.M UKE 15 2023</t>
  </si>
  <si>
    <r>
      <t>3</t>
    </r>
    <r>
      <rPr>
        <sz val="9"/>
        <color indexed="8"/>
        <rFont val="Calibri"/>
        <family val="2"/>
      </rPr>
      <t xml:space="preserve"> Det er fisket 1349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</si>
</sst>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/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123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142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825.21900000000005</v>
      </c>
      <c r="G23" s="28">
        <f t="shared" si="0"/>
        <v>31571.368589999998</v>
      </c>
      <c r="H23" s="11">
        <f t="shared" si="0"/>
        <v>29240.631410000002</v>
      </c>
      <c r="I23" s="11">
        <f t="shared" si="0"/>
        <v>35828.862240000002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825.219</f>
        <v>825.21900000000005</v>
      </c>
      <c r="G24" s="23">
        <f>31171.4643</f>
        <v>31171.4643</v>
      </c>
      <c r="H24" s="23">
        <f>E24-G24</f>
        <v>28870.5357</v>
      </c>
      <c r="I24" s="23">
        <f>35638.17375</f>
        <v>35638.173750000002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399.90429</f>
        <v>399.90429</v>
      </c>
      <c r="H25" s="23">
        <f>E25-G25</f>
        <v>370.09571</v>
      </c>
      <c r="I25" s="23">
        <f>190.68849</f>
        <v>190.68849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4655.2349000000004</v>
      </c>
      <c r="G26" s="11">
        <f t="shared" si="1"/>
        <v>101933.41264999998</v>
      </c>
      <c r="H26" s="11">
        <f t="shared" si="1"/>
        <v>42940.587350000002</v>
      </c>
      <c r="I26" s="11">
        <f t="shared" si="1"/>
        <v>133680.00446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3477.9167700000003</v>
      </c>
      <c r="G27" s="132">
        <f t="shared" ref="G27:I27" si="2">G28+G29+G30+G31+G32</f>
        <v>85882.533839999989</v>
      </c>
      <c r="H27" s="132">
        <f t="shared" si="2"/>
        <v>27095.466160000004</v>
      </c>
      <c r="I27" s="132">
        <f t="shared" si="2"/>
        <v>109222.85557999999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1064.73273</f>
        <v>1064.7327299999999</v>
      </c>
      <c r="G28" s="127">
        <f>23203.06269 - F56</f>
        <v>23203.062689999999</v>
      </c>
      <c r="H28" s="127">
        <f t="shared" ref="H28:H40" si="3">E28-G28</f>
        <v>5426.9373100000012</v>
      </c>
      <c r="I28" s="127">
        <f>29781.72362 - H56</f>
        <v>29781.723620000001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856.40934</f>
        <v>856.40934000000004</v>
      </c>
      <c r="G29" s="127">
        <f>24996.0786 - F57</f>
        <v>24996.078600000001</v>
      </c>
      <c r="H29" s="127">
        <f t="shared" si="3"/>
        <v>4668.9213999999993</v>
      </c>
      <c r="I29" s="127">
        <f>32233.13585 - H57</f>
        <v>32233.135849999999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1002.36185</f>
        <v>1002.36185</v>
      </c>
      <c r="G30" s="127">
        <f>21654.93108 - F58</f>
        <v>21654.931079999998</v>
      </c>
      <c r="H30" s="127">
        <f t="shared" si="3"/>
        <v>5589.0689200000015</v>
      </c>
      <c r="I30" s="127">
        <f>27842.45241 - H58</f>
        <v>27842.452410000002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554.41285</f>
        <v>554.41285000000005</v>
      </c>
      <c r="G31" s="127">
        <f>16028.46147 - F59</f>
        <v>16028.46147</v>
      </c>
      <c r="H31" s="127">
        <f t="shared" si="3"/>
        <v>3310.5385299999998</v>
      </c>
      <c r="I31" s="127">
        <f>19365.5437 - H59</f>
        <v>19365.543699999998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372.30062</f>
        <v>372.30061999999998</v>
      </c>
      <c r="G33" s="132">
        <f>6741.54032</f>
        <v>6741.5403200000001</v>
      </c>
      <c r="H33" s="132">
        <f t="shared" si="3"/>
        <v>10117.45968</v>
      </c>
      <c r="I33" s="132">
        <f>9755.95952</f>
        <v>9755.9595200000003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805.01751000000002</v>
      </c>
      <c r="G34" s="132">
        <f>G35+G36</f>
        <v>9309.3384900000001</v>
      </c>
      <c r="H34" s="132">
        <f t="shared" si="3"/>
        <v>5727.6615099999999</v>
      </c>
      <c r="I34" s="132">
        <f>I35+I36</f>
        <v>14701.18936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805.01751</f>
        <v>805.01751000000002</v>
      </c>
      <c r="G35" s="132">
        <f>11066.33849 - F60 - F61</f>
        <v>9309.3384900000001</v>
      </c>
      <c r="H35" s="127">
        <f t="shared" si="3"/>
        <v>4767.6615099999999</v>
      </c>
      <c r="I35" s="127">
        <f>16680.18936 - H60 - H61</f>
        <v>14701.18936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36.832</f>
        <v>36.832000000000001</v>
      </c>
      <c r="G37" s="139">
        <f>114.2088</f>
        <v>114.2088</v>
      </c>
      <c r="H37" s="139">
        <f t="shared" si="3"/>
        <v>1885.7912000000001</v>
      </c>
      <c r="I37" s="139">
        <f>270.2652</f>
        <v>270.26519999999999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5.4759</f>
        <v>5.4759000000000002</v>
      </c>
      <c r="G38" s="98">
        <f>412.86884</f>
        <v>412.86883999999998</v>
      </c>
      <c r="H38" s="98">
        <f t="shared" si="3"/>
        <v>442.13116000000002</v>
      </c>
      <c r="I38" s="98">
        <f>414.74198</f>
        <v>414.74198000000001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199</v>
      </c>
      <c r="G39" s="98">
        <f>F61</f>
        <v>1757</v>
      </c>
      <c r="H39" s="98">
        <f t="shared" si="3"/>
        <v>1243</v>
      </c>
      <c r="I39" s="98">
        <f>H61</f>
        <v>1979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29.55249</f>
        <v>29.552489999999999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19.09726</f>
        <v>19.097259999999999</v>
      </c>
      <c r="G41" s="98">
        <f>285.84571</f>
        <v>285.84571</v>
      </c>
      <c r="H41" s="98">
        <f>E41-G41</f>
        <v>114.15429</v>
      </c>
      <c r="I41" s="98">
        <f>236.76925</f>
        <v>236.76925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0.072</f>
        <v>7.1999999999999995E-2</v>
      </c>
      <c r="G43" s="139">
        <f>97.99276</f>
        <v>97.992760000000004</v>
      </c>
      <c r="H43" s="139">
        <f t="shared" ref="H43" si="4">E43-G43</f>
        <v>-97.992760000000004</v>
      </c>
      <c r="I43" s="139">
        <f>38.80464</f>
        <v>38.804639999999999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5770.4835500000008</v>
      </c>
      <c r="G44" s="76">
        <f t="shared" si="5"/>
        <v>143172.70134999996</v>
      </c>
      <c r="H44" s="76">
        <f t="shared" si="5"/>
        <v>75868.298650000026</v>
      </c>
      <c r="I44" s="76">
        <f t="shared" si="5"/>
        <v>179448.44777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199</v>
      </c>
      <c r="F61" s="139">
        <v>1757</v>
      </c>
      <c r="G61" s="139">
        <f>D61-F61</f>
        <v>1243</v>
      </c>
      <c r="H61" s="139">
        <v>1979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25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511.67450000000002</v>
      </c>
      <c r="G92" s="11">
        <f t="shared" si="6"/>
        <v>21560.85756</v>
      </c>
      <c r="H92" s="11">
        <f t="shared" si="6"/>
        <v>4400.1424400000005</v>
      </c>
      <c r="I92" s="11">
        <f t="shared" si="6"/>
        <v>32258.32258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511.6745</f>
        <v>511.67450000000002</v>
      </c>
      <c r="G93" s="23">
        <f>20814.29251</f>
        <v>20814.292509999999</v>
      </c>
      <c r="H93" s="23">
        <f>E93-G93</f>
        <v>4321.7074900000007</v>
      </c>
      <c r="I93" s="23">
        <f>31774.26964</f>
        <v>31774.269639999999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746.56505</f>
        <v>746.56505000000004</v>
      </c>
      <c r="H94" s="50">
        <f>E94-G94</f>
        <v>78.434949999999958</v>
      </c>
      <c r="I94" s="50">
        <f>484.05294</f>
        <v>484.05293999999998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579.52071999999998</v>
      </c>
      <c r="G95" s="11">
        <f t="shared" si="7"/>
        <v>17772.035459999999</v>
      </c>
      <c r="H95" s="11">
        <f t="shared" si="7"/>
        <v>31221.964540000001</v>
      </c>
      <c r="I95" s="11">
        <f t="shared" si="7"/>
        <v>12740.050809999999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517.52164000000005</v>
      </c>
      <c r="G96" s="132">
        <f t="shared" si="8"/>
        <v>12674.264869999999</v>
      </c>
      <c r="H96" s="132">
        <f t="shared" si="8"/>
        <v>24819.735130000001</v>
      </c>
      <c r="I96" s="132">
        <f t="shared" si="8"/>
        <v>8105.2659399999993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100.40426</f>
        <v>100.40425999999999</v>
      </c>
      <c r="G97" s="127">
        <f>3085.03758</f>
        <v>3085.0375800000002</v>
      </c>
      <c r="H97" s="127">
        <f t="shared" ref="H97:H104" si="9">E97-G97</f>
        <v>6929.9624199999998</v>
      </c>
      <c r="I97" s="127">
        <f>1697.31161</f>
        <v>1697.31161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221.46564</f>
        <v>221.46564000000001</v>
      </c>
      <c r="G98" s="127">
        <f>4341.05598</f>
        <v>4341.0559800000001</v>
      </c>
      <c r="H98" s="127">
        <f t="shared" si="9"/>
        <v>6272.9440199999999</v>
      </c>
      <c r="I98" s="127">
        <f>2392.17144</f>
        <v>2392.1714400000001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95.52969</f>
        <v>95.529690000000002</v>
      </c>
      <c r="G99" s="127">
        <f>3248.798</f>
        <v>3248.7979999999998</v>
      </c>
      <c r="H99" s="127">
        <f t="shared" si="9"/>
        <v>6863.2020000000002</v>
      </c>
      <c r="I99" s="127">
        <f>1904.49602</f>
        <v>1904.49602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100.12205</f>
        <v>100.12205</v>
      </c>
      <c r="G100" s="127">
        <f>1999.37331</f>
        <v>1999.3733099999999</v>
      </c>
      <c r="H100" s="127">
        <f t="shared" si="9"/>
        <v>4753.6266900000001</v>
      </c>
      <c r="I100" s="127">
        <f>2111.28687</f>
        <v>2111.2868699999999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1.81602</f>
        <v>1.81602</v>
      </c>
      <c r="G101" s="132">
        <f>3684.8602</f>
        <v>3684.8602000000001</v>
      </c>
      <c r="H101" s="132">
        <f t="shared" si="9"/>
        <v>3911.1397999999999</v>
      </c>
      <c r="I101" s="132">
        <f>3649.13639</f>
        <v>3649.1363900000001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60.18306</f>
        <v>60.183059999999998</v>
      </c>
      <c r="G102" s="75">
        <f>1412.91039</f>
        <v>1412.91039</v>
      </c>
      <c r="H102" s="75">
        <f t="shared" si="9"/>
        <v>2491.08961</v>
      </c>
      <c r="I102" s="75">
        <f>985.64848</f>
        <v>985.64847999999995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0.05472</f>
        <v>5.4719999999999998E-2</v>
      </c>
      <c r="G103" s="98">
        <f>31.61178</f>
        <v>31.61178</v>
      </c>
      <c r="H103" s="98">
        <f t="shared" si="9"/>
        <v>287.38821999999999</v>
      </c>
      <c r="I103" s="98">
        <f>11.1417</f>
        <v>11.1417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2.89999</f>
        <v>2.8999899999999998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3.4293</f>
        <v>3.4293</v>
      </c>
      <c r="G105" s="98">
        <f>16.60054</f>
        <v>16.600539999999999</v>
      </c>
      <c r="H105" s="139">
        <f>E105-G105</f>
        <v>33.399460000000005</v>
      </c>
      <c r="I105" s="98">
        <f>4.86326</f>
        <v>4.8632600000000004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2.866</f>
        <v>2.8660000000000001</v>
      </c>
      <c r="G106" s="139">
        <f>16.24224</f>
        <v>16.242239999999999</v>
      </c>
      <c r="H106" s="139">
        <f t="shared" ref="H106" si="10">E106-G106</f>
        <v>-16.242239999999999</v>
      </c>
      <c r="I106" s="139">
        <f>19.85554</f>
        <v>19.855540000000001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1100.44523</v>
      </c>
      <c r="G107" s="76">
        <f t="shared" si="12"/>
        <v>39697.347580000001</v>
      </c>
      <c r="H107" s="76">
        <f t="shared" si="12"/>
        <v>35926.652420000006</v>
      </c>
      <c r="I107" s="76">
        <f t="shared" si="12"/>
        <v>45334.233889999996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282.07685000000004</v>
      </c>
      <c r="G128" s="11">
        <f t="shared" si="13"/>
        <v>30226.881649999999</v>
      </c>
      <c r="H128" s="11">
        <f t="shared" si="13"/>
        <v>42080.118350000004</v>
      </c>
      <c r="I128" s="11">
        <f t="shared" si="13"/>
        <v>28808.921349999997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279.85185</f>
        <v>279.85185000000001</v>
      </c>
      <c r="G129" s="23">
        <f>26602.32666</f>
        <v>26602.326659999999</v>
      </c>
      <c r="H129" s="23">
        <f>E129-G129</f>
        <v>30959.673340000001</v>
      </c>
      <c r="I129" s="23">
        <f>24534.41927</f>
        <v>24534.419269999999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3559.10484</f>
        <v>3559.10484</v>
      </c>
      <c r="H130" s="23">
        <f>E130-G130</f>
        <v>10685.89516</v>
      </c>
      <c r="I130" s="23">
        <f>4160.58083</f>
        <v>4160.5808299999999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2.225</f>
        <v>2.2250000000000001</v>
      </c>
      <c r="G131" s="23">
        <f>65.45015</f>
        <v>65.450149999999994</v>
      </c>
      <c r="H131" s="55">
        <f>E131-G131</f>
        <v>434.54984999999999</v>
      </c>
      <c r="I131" s="23">
        <f>113.92125</f>
        <v>113.92125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1.0125</f>
        <v>1.0125</v>
      </c>
      <c r="G132" s="95">
        <f>18.7045+1348.997525</f>
        <v>1367.702025</v>
      </c>
      <c r="H132" s="95">
        <f>E132-G132</f>
        <v>51128.297975000001</v>
      </c>
      <c r="I132" s="95">
        <f>298.16213</f>
        <v>298.16212999999999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930.19646</v>
      </c>
      <c r="G133" s="94">
        <f t="shared" ref="G133" si="14">G134+G139+G142</f>
        <v>39604.670934999995</v>
      </c>
      <c r="H133" s="94">
        <f>H134+H139+H142</f>
        <v>40560.329064999998</v>
      </c>
      <c r="I133" s="94">
        <f>I134+I139+I142</f>
        <v>38579.666290000001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832.00068999999996</v>
      </c>
      <c r="G134" s="125">
        <f>G135+G136+G138+G137</f>
        <v>29586.935494999998</v>
      </c>
      <c r="H134" s="125">
        <f>H135+H136+H137+H138</f>
        <v>29492.064505000002</v>
      </c>
      <c r="I134" s="125">
        <f>I135+I136+I137+I138</f>
        <v>31025.050930000001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136.54811</f>
        <v>136.54811000000001</v>
      </c>
      <c r="G135" s="127">
        <v>5555.3442599999998</v>
      </c>
      <c r="H135" s="127">
        <f>E135-G135</f>
        <v>12218.65574</v>
      </c>
      <c r="I135" s="127">
        <f>4575.9611</f>
        <v>4575.9611000000004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194.53331</f>
        <v>194.53331</v>
      </c>
      <c r="G136" s="127">
        <v>9377.079925</v>
      </c>
      <c r="H136" s="127">
        <f>E136-G136</f>
        <v>5561.920075</v>
      </c>
      <c r="I136" s="127">
        <f>9104.74595</f>
        <v>9104.7459500000004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158.98717</f>
        <v>158.98716999999999</v>
      </c>
      <c r="G137" s="127">
        <v>7575.06826</v>
      </c>
      <c r="H137" s="127">
        <f>E137-G137</f>
        <v>5475.93174</v>
      </c>
      <c r="I137" s="127">
        <f>8112.9162</f>
        <v>8112.9161999999997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341.9321</f>
        <v>341.93209999999999</v>
      </c>
      <c r="G138" s="127">
        <v>7079.4430499999999</v>
      </c>
      <c r="H138" s="127">
        <f>E138-G138</f>
        <v>6235.5569500000001</v>
      </c>
      <c r="I138" s="127">
        <f>9231.42768</f>
        <v>9231.4276800000007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4.4724000000000004</v>
      </c>
      <c r="G139" s="132">
        <f>SUM(G140:G141)</f>
        <v>7581.5936799999999</v>
      </c>
      <c r="H139" s="132">
        <f>H140+H141</f>
        <v>1348.4063199999996</v>
      </c>
      <c r="I139" s="132">
        <f>SUM(I140:I141)</f>
        <v>5453.6835499999997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0</f>
        <v>0</v>
      </c>
      <c r="G140" s="127">
        <f>7402.76104</f>
        <v>7402.7610400000003</v>
      </c>
      <c r="H140" s="127">
        <f t="shared" ref="H140:H148" si="15">E140-G140</f>
        <v>1027.2389599999997</v>
      </c>
      <c r="I140" s="127">
        <f>5345.92997</f>
        <v>5345.9299700000001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4.4724</f>
        <v>4.4724000000000004</v>
      </c>
      <c r="G141" s="127">
        <f>178.83264</f>
        <v>178.83264</v>
      </c>
      <c r="H141" s="127">
        <f t="shared" si="15"/>
        <v>321.16736000000003</v>
      </c>
      <c r="I141" s="127">
        <f>107.75358</f>
        <v>107.75358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93.72337</f>
        <v>93.723370000000003</v>
      </c>
      <c r="G142" s="75">
        <f>2436.14176</f>
        <v>2436.14176</v>
      </c>
      <c r="H142" s="75">
        <f t="shared" si="15"/>
        <v>9719.8582399999996</v>
      </c>
      <c r="I142" s="75">
        <f>2100.93181</f>
        <v>2100.93181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0.0459</f>
        <v>4.5900000000000003E-2</v>
      </c>
      <c r="G143" s="139">
        <f>14.19558</f>
        <v>14.19558</v>
      </c>
      <c r="H143" s="139">
        <f t="shared" si="15"/>
        <v>131.80441999999999</v>
      </c>
      <c r="I143" s="139">
        <f>17.99741</f>
        <v>17.997409999999999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5.80789</f>
        <v>5.8078900000000004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2.46355</f>
        <v>2.4635500000000001</v>
      </c>
      <c r="G147" s="98">
        <f>25.44488</f>
        <v>25.444880000000001</v>
      </c>
      <c r="H147" s="139">
        <f t="shared" si="15"/>
        <v>250.55511999999999</v>
      </c>
      <c r="I147" s="98">
        <f>19.2221</f>
        <v>19.222100000000001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0.128</f>
        <v>0.128</v>
      </c>
      <c r="G148" s="139">
        <f>109.94869</f>
        <v>109.94869</v>
      </c>
      <c r="H148" s="139">
        <f t="shared" si="15"/>
        <v>-109.94869</v>
      </c>
      <c r="I148" s="139">
        <f>63.2359</f>
        <v>63.235900000000001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1221.7311500000001</v>
      </c>
      <c r="G150" s="76">
        <f>G128+G132+G133+G143+G144+G145+G146+G147+G148</f>
        <v>73348.843759999989</v>
      </c>
      <c r="H150" s="76">
        <f>H128+H132+H133+H143+H144+H145+H146+H147+H148</f>
        <v>134291.15624000001</v>
      </c>
      <c r="I150" s="76">
        <f>I128+I132+I133+I143+I144+I145+I146+I147+I148</f>
        <v>69787.20517999999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29.2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10.09925</f>
        <v>10.09925</v>
      </c>
      <c r="F175" s="275">
        <f>327.67486</f>
        <v>327.67486000000002</v>
      </c>
      <c r="G175" s="43">
        <f>D175-F175-F176</f>
        <v>3629.9395599999998</v>
      </c>
      <c r="H175" s="275">
        <f>556.97719</f>
        <v>556.97718999999995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265.38558</f>
        <v>265.38558</v>
      </c>
      <c r="G176" s="216"/>
      <c r="H176" s="152">
        <f>204.10482</f>
        <v>204.10481999999999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0.01584</f>
        <v>1.584E-2</v>
      </c>
      <c r="F177" s="172">
        <f>24.50222</f>
        <v>24.502220000000001</v>
      </c>
      <c r="G177" s="172">
        <f>D177-F177</f>
        <v>175.49778000000001</v>
      </c>
      <c r="H177" s="172">
        <f>32.37132</f>
        <v>32.371319999999997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5.7508600000000003</v>
      </c>
      <c r="F178" s="181">
        <f>F179+F180+F181</f>
        <v>46.816109999999995</v>
      </c>
      <c r="G178" s="181">
        <f>D178-F178</f>
        <v>6287.1838900000002</v>
      </c>
      <c r="H178" s="181">
        <f>H179+H180+H181</f>
        <v>20.120280000000001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5.26084</f>
        <v>5.26084</v>
      </c>
      <c r="F179" s="127">
        <f>26.52485</f>
        <v>26.524850000000001</v>
      </c>
      <c r="G179" s="127"/>
      <c r="H179" s="127">
        <f>5.90914</f>
        <v>5.9091399999999998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0.38882</f>
        <v>0.38882</v>
      </c>
      <c r="F180" s="127">
        <f>11.78858</f>
        <v>11.78858</v>
      </c>
      <c r="G180" s="127"/>
      <c r="H180" s="127">
        <f>13.10702</f>
        <v>13.10702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0.1012</f>
        <v>0.1012</v>
      </c>
      <c r="F181" s="192">
        <f>8.50268</f>
        <v>8.5026799999999998</v>
      </c>
      <c r="G181" s="192"/>
      <c r="H181" s="192">
        <f>1.10412</f>
        <v>1.10412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15.865950000000002</v>
      </c>
      <c r="F184" s="194">
        <f>F175+F176+F177+F178+F182+F183</f>
        <v>664.37876999999992</v>
      </c>
      <c r="G184" s="194">
        <f>D184-F184</f>
        <v>10158.621230000001</v>
      </c>
      <c r="H184" s="194">
        <f>H175+H176+H177+H178+H182+H183</f>
        <v>813.57360999999992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34.56278</f>
        <v>34.562779999999997</v>
      </c>
      <c r="F204" s="124">
        <f>13075.81947</f>
        <v>13075.81947</v>
      </c>
      <c r="G204" s="124">
        <f>D204-F204</f>
        <v>33206.180529999998</v>
      </c>
      <c r="H204" s="124">
        <f>7740.29875</f>
        <v>7740.2987499999999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0.13</f>
        <v>0.13</v>
      </c>
      <c r="F205" s="124">
        <f>1.71905</f>
        <v>1.71905</v>
      </c>
      <c r="G205" s="124">
        <f>D205-F205</f>
        <v>98.280950000000004</v>
      </c>
      <c r="H205" s="124">
        <f>0.86224</f>
        <v>0.86224000000000001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34.692779999999999</v>
      </c>
      <c r="F207" s="190">
        <f>SUM(F204:F206)</f>
        <v>13077.53852</v>
      </c>
      <c r="G207" s="190">
        <f>D207-F207</f>
        <v>33340.461479999998</v>
      </c>
      <c r="H207" s="190">
        <f>SUM(H204:H206)</f>
        <v>7741.1609900000003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64.450580000000002</v>
      </c>
      <c r="F249" s="75">
        <f>F250+F251</f>
        <v>1926.16913</v>
      </c>
      <c r="G249" s="75">
        <f>D249-F249</f>
        <v>2060.8308699999998</v>
      </c>
      <c r="H249" s="75">
        <f>H250+H251</f>
        <v>1174.75875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46.9046</f>
        <v>46.904600000000002</v>
      </c>
      <c r="F250" s="75">
        <f>1516.11801</f>
        <v>1516.1180099999999</v>
      </c>
      <c r="G250" s="75"/>
      <c r="H250" s="75">
        <f>865.50396</f>
        <v>865.50396000000001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17.54598</f>
        <v>17.54598</v>
      </c>
      <c r="F251" s="124">
        <f>410.05112</f>
        <v>410.05112000000003</v>
      </c>
      <c r="G251" s="168"/>
      <c r="H251" s="124">
        <f>309.25479</f>
        <v>309.25479000000001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260.7964</f>
        <v>260.79640000000001</v>
      </c>
      <c r="F252" s="75">
        <f>2160.63363</f>
        <v>2160.6336299999998</v>
      </c>
      <c r="G252" s="75">
        <f>D252-F252</f>
        <v>2452.3663700000002</v>
      </c>
      <c r="H252" s="75">
        <f>1963.48055</f>
        <v>1963.48055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389.69756000000001</v>
      </c>
      <c r="F253" s="190">
        <f>SUM(F249:F252)</f>
        <v>6012.9718899999998</v>
      </c>
      <c r="G253" s="190">
        <f>D253-F253</f>
        <v>2587.0281100000002</v>
      </c>
      <c r="H253" s="190">
        <f>SUM(H249:H252)</f>
        <v>4312.9980500000001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9.3523399999999999</v>
      </c>
      <c r="F295" s="75">
        <f>F296+F297</f>
        <v>1472.81448</v>
      </c>
      <c r="G295" s="75">
        <f>D295-F295</f>
        <v>3617.18552</v>
      </c>
      <c r="H295" s="75">
        <f>H296+H297</f>
        <v>789.62563999999998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1.1952</f>
        <v>1.1952</v>
      </c>
      <c r="F296" s="75">
        <f>1192.958</f>
        <v>1192.9580000000001</v>
      </c>
      <c r="G296" s="75"/>
      <c r="H296" s="75">
        <f>591.27962</f>
        <v>591.27962000000002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8.15714</f>
        <v>8.1571400000000001</v>
      </c>
      <c r="F297" s="124">
        <f>279.85648</f>
        <v>279.85647999999998</v>
      </c>
      <c r="G297" s="168"/>
      <c r="H297" s="124">
        <f>198.34602</f>
        <v>198.34602000000001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84.70146</f>
        <v>84.701459999999997</v>
      </c>
      <c r="F298" s="75">
        <f>1240.1567</f>
        <v>1240.1567</v>
      </c>
      <c r="G298" s="75">
        <f>D298-F298</f>
        <v>1740.8433</v>
      </c>
      <c r="H298" s="75">
        <f>983.10672</f>
        <v>983.10672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103.40613999999999</v>
      </c>
      <c r="F299" s="190">
        <f>SUM(F295:F298)</f>
        <v>4185.7856599999996</v>
      </c>
      <c r="G299" s="190">
        <f>D299-F299</f>
        <v>3885.2143400000004</v>
      </c>
      <c r="H299" s="190">
        <f>SUM(H295:H298)</f>
        <v>2562.3580000000002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6.93982</f>
        <v>6.9398200000000001</v>
      </c>
      <c r="F350" s="124">
        <f>176.38656</f>
        <v>176.38656</v>
      </c>
      <c r="G350" s="124">
        <f>D350-F350</f>
        <v>623.61343999999997</v>
      </c>
      <c r="H350" s="124">
        <f>118.34679</f>
        <v>118.34679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12.28167</f>
        <v>12.28167</v>
      </c>
      <c r="F351" s="124">
        <f>384.51306</f>
        <v>384.51306</v>
      </c>
      <c r="G351" s="124">
        <f>D351-F351</f>
        <v>2656.4869399999998</v>
      </c>
      <c r="H351" s="124">
        <f>430.07372</f>
        <v>430.07371999999998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0.19022</f>
        <v>0.19022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19.221489999999999</v>
      </c>
      <c r="F354" s="190">
        <f>SUM(F350:F353)</f>
        <v>561.55668000000003</v>
      </c>
      <c r="G354" s="190">
        <f>D354-F354</f>
        <v>3289.4433199999999</v>
      </c>
      <c r="H354" s="190">
        <f>H350+H351+H352+H353</f>
        <v>548.70076999999992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52.95055</v>
      </c>
      <c r="G380" s="252">
        <f t="shared" si="17"/>
        <v>4493.2640200000005</v>
      </c>
      <c r="H380" s="252">
        <f>H384+H383+H382+H381</f>
        <v>18475.735979999998</v>
      </c>
      <c r="I380" s="252">
        <f t="shared" si="17"/>
        <v>3087.9980800000003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8.10675</f>
        <v>8.1067499999999999</v>
      </c>
      <c r="G381" s="256">
        <f>3282.56721</f>
        <v>3282.5672100000002</v>
      </c>
      <c r="H381" s="256">
        <f t="shared" ref="H381:H385" si="18">E381-G381</f>
        <v>9907.4327899999989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411.9444</f>
        <v>411.94439999999997</v>
      </c>
      <c r="H382" s="256">
        <f t="shared" si="18"/>
        <v>3021.0556000000001</v>
      </c>
      <c r="I382" s="256">
        <f>566.163</f>
        <v>566.16300000000001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28.932</f>
        <v>28.931999999999999</v>
      </c>
      <c r="G383" s="256">
        <f>751.67221</f>
        <v>751.67220999999995</v>
      </c>
      <c r="H383" s="256">
        <f t="shared" si="18"/>
        <v>731.32779000000005</v>
      </c>
      <c r="I383" s="256">
        <f>640.22605</f>
        <v>640.22604999999999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15.9118</f>
        <v>15.911799999999999</v>
      </c>
      <c r="G384" s="256">
        <f>47.0802</f>
        <v>47.080199999999998</v>
      </c>
      <c r="H384" s="256">
        <f t="shared" si="18"/>
        <v>4815.9197999999997</v>
      </c>
      <c r="I384" s="256">
        <f>263.04485</f>
        <v>263.04485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67.14256</f>
        <v>67.142560000000003</v>
      </c>
      <c r="H385" s="267">
        <f t="shared" si="18"/>
        <v>5432.8574399999998</v>
      </c>
      <c r="I385" s="267">
        <f>466.69468</f>
        <v>466.69468000000001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49.892690000000002</v>
      </c>
      <c r="G386" s="268">
        <f>G388+G387</f>
        <v>1265.8249799999999</v>
      </c>
      <c r="H386" s="268">
        <f>E386-G386</f>
        <v>6734.1750200000006</v>
      </c>
      <c r="I386" s="268">
        <f>I388+I387</f>
        <v>1552.96029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49.89269</f>
        <v>49.892690000000002</v>
      </c>
      <c r="G388" s="277">
        <f>748.75122</f>
        <v>748.75121999999999</v>
      </c>
      <c r="H388" s="277"/>
      <c r="I388" s="277">
        <f>810.38669</f>
        <v>810.38669000000004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0.003</f>
        <v>3.0000000000000001E-3</v>
      </c>
      <c r="G390" s="267">
        <f>4.112</f>
        <v>4.1120000000000001</v>
      </c>
      <c r="H390" s="267">
        <f>E390-G390</f>
        <v>-4.1120000000000001</v>
      </c>
      <c r="I390" s="267">
        <f>22.82476</f>
        <v>22.824760000000001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102.84624000000001</v>
      </c>
      <c r="G391" s="286">
        <f t="shared" si="19"/>
        <v>5830.36996</v>
      </c>
      <c r="H391" s="286">
        <f>H380+H385+H386+H389+H390</f>
        <v>30651.63004</v>
      </c>
      <c r="I391" s="286">
        <f t="shared" si="19"/>
        <v>5130.5345100000013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121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1221.9089799999999</v>
      </c>
      <c r="G416" s="85">
        <f>D416-F416</f>
        <v>-161.90897999999993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60.218009999999992</v>
      </c>
      <c r="F419" s="36">
        <f>SUM(F420:F421)</f>
        <v>419.17777999999998</v>
      </c>
      <c r="G419" s="85">
        <f>D419-F419</f>
        <v>815.82222000000002</v>
      </c>
      <c r="H419" s="36">
        <f>SUM(H420:H421)</f>
        <v>740.81698000000006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42.4768</f>
        <v>42.476799999999997</v>
      </c>
      <c r="F420" s="30">
        <f>286.90954</f>
        <v>286.90953999999999</v>
      </c>
      <c r="G420" s="97"/>
      <c r="H420" s="30">
        <f>527.83118</f>
        <v>527.83118000000002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17.74121</f>
        <v>17.741209999999999</v>
      </c>
      <c r="F421" s="30">
        <f>132.26824</f>
        <v>132.26823999999999</v>
      </c>
      <c r="G421" s="108"/>
      <c r="H421" s="30">
        <f>212.9858</f>
        <v>212.98580000000001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60.218009999999992</v>
      </c>
      <c r="F423" s="40">
        <f>F413+F416+F419+F422</f>
        <v>2629.4879899999996</v>
      </c>
      <c r="G423" s="41"/>
      <c r="H423" s="40">
        <f>H413+H416+H419+H422</f>
        <v>4472.6501399999997</v>
      </c>
      <c r="I423" s="27"/>
      <c r="J423" s="130"/>
    </row>
    <row r="424" spans="1:10" ht="42" customHeight="1" x14ac:dyDescent="0.25">
      <c r="A424" s="217"/>
      <c r="B424" s="72"/>
      <c r="C424" s="292" t="s">
        <v>122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15&amp;R15.04.2024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Even Gaulen Gulliksen</cp:lastModifiedBy>
  <cp:lastPrinted>2022-11-14T12:51:47Z</cp:lastPrinted>
  <dcterms:created xsi:type="dcterms:W3CDTF">2022-08-01T13:23:35Z</dcterms:created>
  <dcterms:modified xsi:type="dcterms:W3CDTF">2024-04-15T08:16:03Z</dcterms:modified>
</cp:coreProperties>
</file>